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2.xml" ContentType="application/vnd.openxmlformats-officedocument.spreadsheetml.comments+xml"/>
  <Override PartName="/xl/worksheets/sheet7.xml" ContentType="application/vnd.openxmlformats-officedocument.spreadsheetml.worksheet+xml"/>
  <Override PartName="/xl/drawings/drawing2.xml" ContentType="application/vnd.openxmlformats-officedocument.drawing+xml"/>
  <Override PartName="/xl/worksheets/sheet8.xml" ContentType="application/vnd.openxmlformats-officedocument.spreadsheetml.worksheet+xml"/>
  <Override PartName="/xl/comments/comment3.xml" ContentType="application/vnd.openxmlformats-officedocument.spreadsheetml.comments+xml"/>
  <Override PartName="/xl/worksheets/sheet9.xml" ContentType="application/vnd.openxmlformats-officedocument.spreadsheetml.worksheet+xml"/>
  <Override PartName="/xl/drawings/drawing3.xml" ContentType="application/vnd.openxmlformats-officedocument.drawing+xml"/>
  <Override PartName="/xl/worksheets/sheet10.xml" ContentType="application/vnd.openxmlformats-officedocument.spreadsheetml.worksheet+xml"/>
  <Override PartName="/xl/comments/comment4.xml" ContentType="application/vnd.openxmlformats-officedocument.spreadsheetml.comments+xml"/>
  <Override PartName="/xl/worksheets/sheet11.xml" ContentType="application/vnd.openxmlformats-officedocument.spreadsheetml.worksheet+xml"/>
  <Override PartName="/xl/comments/comment5.xml" ContentType="application/vnd.openxmlformats-officedocument.spreadsheetml.comments+xml"/>
  <Override PartName="/xl/worksheets/sheet12.xml" ContentType="application/vnd.openxmlformats-officedocument.spreadsheetml.worksheet+xml"/>
  <Override PartName="/xl/comments/comment6.xml" ContentType="application/vnd.openxmlformats-officedocument.spreadsheetml.comments+xml"/>
  <Override PartName="/xl/worksheets/sheet13.xml" ContentType="application/vnd.openxmlformats-officedocument.spreadsheetml.worksheet+xml"/>
  <Override PartName="/xl/worksheets/sheet14.xml" ContentType="application/vnd.openxmlformats-officedocument.spreadsheetml.worksheet+xml"/>
  <Override PartName="/xl/comments/comment7.xml" ContentType="application/vnd.openxmlformats-officedocument.spreadsheetml.comments+xml"/>
  <Override PartName="/xl/worksheets/sheet15.xml" ContentType="application/vnd.openxmlformats-officedocument.spreadsheetml.worksheet+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mpieza_Aqui" sheetId="1" state="visible" r:id="rId1"/>
    <sheet name="00_Guia_Metodologica" sheetId="2" state="visible" r:id="rId2"/>
    <sheet name="Guia_1_Tu_Perfil" sheetId="3" state="visible" r:id="rId3"/>
    <sheet name="01_Mente_y_Arquetipos" sheetId="4" state="visible" r:id="rId4"/>
    <sheet name="02_Ikigai_Financiero" sheetId="5" state="visible" r:id="rId5"/>
    <sheet name="03_Balance_Patrimonial" sheetId="6" state="visible" r:id="rId6"/>
    <sheet name="Guia_2_Decisiones" sheetId="7" state="visible" r:id="rId7"/>
    <sheet name="04_Presupuesto_Inteligente" sheetId="8" state="visible" r:id="rId8"/>
    <sheet name="Guia_3_Deuda_Libertad" sheetId="9" state="visible" r:id="rId9"/>
    <sheet name="05_Saneamiento_Deudas" sheetId="10" state="visible" r:id="rId10"/>
    <sheet name="06_Startup_y_Precios" sheetId="11" state="visible" r:id="rId11"/>
    <sheet name="07_Flujo_Caja_12M" sheetId="12" state="visible" r:id="rId12"/>
    <sheet name="08_Estado_Resultados" sheetId="13" state="visible" r:id="rId13"/>
    <sheet name="09_Libertad_Financiera" sheetId="14" state="visible" r:id="rId14"/>
    <sheet name="10_Dashboard_Ejecutivo" sheetId="15" state="visible" r:id="rId15"/>
  </sheets>
  <definedNames/>
  <calcPr calcId="124519" fullCalcOnLoad="1"/>
</workbook>
</file>

<file path=xl/styles.xml><?xml version="1.0" encoding="utf-8"?>
<styleSheet xmlns="http://schemas.openxmlformats.org/spreadsheetml/2006/main">
  <numFmts count="8">
    <numFmt numFmtId="164" formatCode="0.0%"/>
    <numFmt numFmtId="165" formatCode="$#,##0"/>
    <numFmt numFmtId="166" formatCode="0.0 meses"/>
    <numFmt numFmtId="167" formatCode="0 &quot;meses (aprox.)&quot;"/>
    <numFmt numFmtId="168" formatCode="0.0 Unidades"/>
    <numFmt numFmtId="169" formatCode="0 &quot;unidades/mes&quot;"/>
    <numFmt numFmtId="170" formatCode="0.0 Años"/>
    <numFmt numFmtId="171" formatCode="0.0 &quot;Meses&quot;"/>
  </numFmts>
  <fonts count="16">
    <font>
      <name val="Calibri"/>
      <family val="2"/>
      <color theme="1"/>
      <sz val="11"/>
      <scheme val="minor"/>
    </font>
    <font>
      <name val="Segoe UI"/>
      <b val="1"/>
      <color rgb="005B21B6"/>
      <sz val="13"/>
    </font>
    <font>
      <name val="Segoe UI"/>
      <b val="1"/>
      <color rgb="000F172A"/>
      <sz val="11"/>
    </font>
    <font>
      <name val="Segoe UI"/>
      <i val="1"/>
      <color rgb="00475569"/>
      <sz val="9.5"/>
    </font>
    <font>
      <name val="Segoe UI"/>
      <color rgb="0064748B"/>
      <sz val="8.5"/>
    </font>
    <font>
      <name val="Segoe UI"/>
      <b val="1"/>
      <color rgb="00FFFFFF"/>
      <sz val="9.5"/>
    </font>
    <font>
      <name val="Segoe UI"/>
      <b val="1"/>
      <color rgb="00FFFFFF"/>
      <sz val="10"/>
    </font>
    <font>
      <name val="Segoe UI"/>
      <color rgb="000F172A"/>
      <sz val="9.5"/>
    </font>
    <font>
      <name val="Segoe UI"/>
      <b val="1"/>
      <color rgb="000F172A"/>
      <sz val="9.5"/>
    </font>
    <font>
      <name val="Segoe UI"/>
      <b val="1"/>
      <color rgb="005B21B6"/>
      <sz val="16"/>
    </font>
    <font>
      <name val="Segoe UI"/>
      <i val="1"/>
      <color rgb="00475569"/>
      <sz val="9"/>
    </font>
    <font>
      <name val="Segoe UI"/>
      <b val="1"/>
      <color rgb="00475569"/>
      <sz val="9"/>
    </font>
    <font>
      <name val="Segoe UI"/>
      <b val="1"/>
      <color rgb="005B21B6"/>
      <sz val="10"/>
    </font>
    <font>
      <name val="Segoe UI"/>
      <b val="1"/>
      <color rgb="005B21B6"/>
      <sz val="15"/>
    </font>
    <font>
      <name val="Segoe UI"/>
      <color rgb="00475569"/>
      <sz val="10.5"/>
    </font>
    <font>
      <name val="Segoe UI"/>
      <b val="1"/>
      <color rgb="005B21B6"/>
      <sz val="10.5"/>
    </font>
  </fonts>
  <fills count="11">
    <fill>
      <patternFill/>
    </fill>
    <fill>
      <patternFill patternType="gray125"/>
    </fill>
    <fill>
      <patternFill patternType="solid">
        <fgColor rgb="007C3AED"/>
        <bgColor rgb="007C3AED"/>
      </patternFill>
    </fill>
    <fill>
      <patternFill patternType="solid">
        <fgColor rgb="005B21B6"/>
        <bgColor rgb="005B21B6"/>
      </patternFill>
    </fill>
    <fill>
      <patternFill patternType="solid">
        <fgColor rgb="00F8FAFC"/>
        <bgColor rgb="00F8FAFC"/>
      </patternFill>
    </fill>
    <fill>
      <patternFill patternType="solid">
        <fgColor rgb="00FFFFFF"/>
      </patternFill>
    </fill>
    <fill>
      <patternFill patternType="solid">
        <fgColor rgb="00FEFCE8"/>
      </patternFill>
    </fill>
    <fill>
      <patternFill patternType="solid">
        <fgColor rgb="00EDE9FE"/>
        <bgColor rgb="00EDE9FE"/>
      </patternFill>
    </fill>
    <fill>
      <patternFill patternType="solid">
        <fgColor rgb="00F5F3FF"/>
        <bgColor rgb="00F5F3FF"/>
      </patternFill>
    </fill>
    <fill>
      <patternFill patternType="solid">
        <fgColor rgb="00F5F3FF"/>
      </patternFill>
    </fill>
    <fill>
      <patternFill patternType="solid">
        <fgColor rgb="00DCFCE7"/>
      </patternFill>
    </fill>
  </fills>
  <borders count="4">
    <border>
      <left/>
      <right/>
      <top/>
      <bottom/>
      <diagonal/>
    </border>
    <border>
      <left style="thin">
        <color rgb="00CBD5E1"/>
      </left>
      <right style="thin">
        <color rgb="00CBD5E1"/>
      </right>
      <top style="thin">
        <color rgb="00CBD5E1"/>
      </top>
      <bottom style="thin">
        <color rgb="00CBD5E1"/>
      </bottom>
    </border>
    <border>
      <left style="thin">
        <color rgb="00CBD5E1"/>
      </left>
      <right style="thin">
        <color rgb="00CBD5E1"/>
      </right>
      <top style="thin">
        <color rgb="00CBD5E1"/>
      </top>
      <bottom style="medium">
        <color rgb="005B21B6"/>
      </bottom>
    </border>
    <border>
      <left style="medium">
        <color rgb="00C084FC"/>
      </left>
      <right style="medium">
        <color rgb="00C084FC"/>
      </right>
      <top style="medium">
        <color rgb="00C084FC"/>
      </top>
      <bottom style="medium">
        <color rgb="00C084FC"/>
      </bottom>
    </border>
  </borders>
  <cellStyleXfs count="1">
    <xf numFmtId="0" fontId="0" fillId="0" borderId="0"/>
  </cellStyleXfs>
  <cellXfs count="106">
    <xf numFmtId="0" fontId="0" fillId="0" borderId="0" pivotButton="0" quotePrefix="0" xfId="0"/>
    <xf numFmtId="0" fontId="13" fillId="0" borderId="0" applyAlignment="1" pivotButton="0" quotePrefix="0" xfId="0">
      <alignment horizontal="left" vertical="center" wrapText="1"/>
    </xf>
    <xf numFmtId="0" fontId="14" fillId="0" borderId="0" applyAlignment="1" pivotButton="0" quotePrefix="0" xfId="0">
      <alignment horizontal="left" vertical="center" wrapText="1"/>
    </xf>
    <xf numFmtId="0" fontId="0" fillId="2" borderId="0" pivotButton="0" quotePrefix="0" xfId="0"/>
    <xf numFmtId="0" fontId="5" fillId="2" borderId="1" applyAlignment="1" pivotButton="0" quotePrefix="0" xfId="0">
      <alignment horizontal="left" vertical="center" wrapText="1"/>
    </xf>
    <xf numFmtId="0" fontId="0" fillId="2" borderId="1" applyAlignment="1" pivotButton="0" quotePrefix="0" xfId="0">
      <alignment horizontal="left" vertical="center" wrapText="1"/>
    </xf>
    <xf numFmtId="0" fontId="8" fillId="4" borderId="1" applyAlignment="1" pivotButton="0" quotePrefix="0" xfId="0">
      <alignment horizontal="left" vertical="center" wrapText="1"/>
    </xf>
    <xf numFmtId="0" fontId="0" fillId="4" borderId="1" pivotButton="0" quotePrefix="0" xfId="0"/>
    <xf numFmtId="0" fontId="7" fillId="4" borderId="1" applyAlignment="1" pivotButton="0" quotePrefix="0" xfId="0">
      <alignment horizontal="left" vertical="center" wrapText="1"/>
    </xf>
    <xf numFmtId="0" fontId="8" fillId="5" borderId="1" applyAlignment="1" pivotButton="0" quotePrefix="0" xfId="0">
      <alignment horizontal="left" vertical="center" wrapText="1"/>
    </xf>
    <xf numFmtId="0" fontId="0" fillId="5" borderId="1" pivotButton="0" quotePrefix="0" xfId="0"/>
    <xf numFmtId="0" fontId="7" fillId="5" borderId="1" applyAlignment="1" pivotButton="0" quotePrefix="0" xfId="0">
      <alignment horizontal="left" vertical="center" wrapText="1"/>
    </xf>
    <xf numFmtId="0" fontId="8" fillId="6" borderId="1" applyAlignment="1" pivotButton="0" quotePrefix="0" xfId="0">
      <alignment horizontal="center" vertical="center" wrapText="1"/>
    </xf>
    <xf numFmtId="0" fontId="8" fillId="4" borderId="1" applyAlignment="1" pivotButton="0" quotePrefix="0" xfId="0">
      <alignment horizontal="center" vertical="center" wrapText="1"/>
    </xf>
    <xf numFmtId="0" fontId="8" fillId="7" borderId="1" applyAlignment="1" pivotButton="0" quotePrefix="0" xfId="0">
      <alignment horizontal="center" vertical="center" wrapText="1"/>
    </xf>
    <xf numFmtId="0" fontId="8" fillId="10" borderId="1" applyAlignment="1" pivotButton="0" quotePrefix="0" xfId="0">
      <alignment horizontal="center" vertical="center" wrapText="1"/>
    </xf>
    <xf numFmtId="0" fontId="10" fillId="4" borderId="1" applyAlignment="1" pivotButton="0" quotePrefix="0" xfId="0">
      <alignment horizontal="left" vertical="center" wrapText="1"/>
    </xf>
    <xf numFmtId="0" fontId="8" fillId="5" borderId="1" applyAlignment="1" pivotButton="0" quotePrefix="0" xfId="0">
      <alignment horizontal="center" vertical="center" wrapText="1"/>
    </xf>
    <xf numFmtId="0" fontId="10" fillId="5" borderId="1" applyAlignment="1" pivotButton="0" quotePrefix="0" xfId="0">
      <alignment horizontal="left" vertical="center" wrapText="1"/>
    </xf>
    <xf numFmtId="0" fontId="15" fillId="7" borderId="3" applyAlignment="1" pivotButton="0" quotePrefix="0" xfId="0">
      <alignment horizontal="left" vertical="center" wrapText="1"/>
    </xf>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12" fillId="9" borderId="0" applyAlignment="1" pivotButton="0" quotePrefix="0" xfId="0">
      <alignment horizontal="left" vertical="center" wrapText="1"/>
    </xf>
    <xf numFmtId="0" fontId="0" fillId="9" borderId="0" pivotButton="0" quotePrefix="0" xfId="0"/>
    <xf numFmtId="0" fontId="6" fillId="3" borderId="1" applyAlignment="1" pivotButton="0" quotePrefix="0" xfId="0">
      <alignment horizontal="center" vertical="center" wrapText="1"/>
    </xf>
    <xf numFmtId="0" fontId="7" fillId="4" borderId="1" pivotButton="0" quotePrefix="0" xfId="0"/>
    <xf numFmtId="0" fontId="7" fillId="5" borderId="1" pivotButton="0" quotePrefix="0" xfId="0"/>
    <xf numFmtId="0" fontId="7" fillId="5" borderId="1" applyAlignment="1" pivotButton="0" quotePrefix="0" xfId="0">
      <alignment horizontal="center" vertical="center" wrapText="1"/>
    </xf>
    <xf numFmtId="0" fontId="7" fillId="4" borderId="1" applyAlignment="1" pivotButton="0" quotePrefix="0" xfId="0">
      <alignment horizontal="center" vertical="center" wrapText="1"/>
    </xf>
    <xf numFmtId="0" fontId="8" fillId="7" borderId="2" applyAlignment="1" pivotButton="0" quotePrefix="0" xfId="0">
      <alignment horizontal="right" vertical="center" wrapText="1"/>
    </xf>
    <xf numFmtId="0" fontId="0" fillId="7" borderId="2" pivotButton="0" quotePrefix="0" xfId="0"/>
    <xf numFmtId="0" fontId="9" fillId="7" borderId="2" applyAlignment="1" pivotButton="0" quotePrefix="0" xfId="0">
      <alignment horizontal="center" vertical="center" wrapText="1"/>
    </xf>
    <xf numFmtId="0" fontId="8" fillId="7" borderId="2" applyAlignment="1" pivotButton="0" quotePrefix="0" xfId="0">
      <alignment horizontal="center" vertical="center" wrapText="1"/>
    </xf>
    <xf numFmtId="0" fontId="8" fillId="5" borderId="1" applyAlignment="1" pivotButton="0" quotePrefix="0" xfId="0">
      <alignment horizontal="right" vertical="center" wrapText="1"/>
    </xf>
    <xf numFmtId="0" fontId="8" fillId="7" borderId="3" applyAlignment="1" pivotButton="0" quotePrefix="0" xfId="0">
      <alignment horizontal="left" vertical="top" wrapText="1"/>
    </xf>
    <xf numFmtId="0" fontId="7" fillId="6" borderId="1" applyAlignment="1" pivotButton="0" quotePrefix="0" xfId="0">
      <alignment horizontal="left" vertical="center" wrapText="1"/>
    </xf>
    <xf numFmtId="0" fontId="7" fillId="0" borderId="1" pivotButton="0" quotePrefix="0" xfId="0"/>
    <xf numFmtId="0" fontId="0" fillId="5" borderId="1" applyAlignment="1" pivotButton="0" quotePrefix="0" xfId="0">
      <alignment horizontal="left" vertical="center" wrapText="1"/>
    </xf>
    <xf numFmtId="0" fontId="8" fillId="4" borderId="1" applyAlignment="1" pivotButton="0" quotePrefix="0" xfId="0">
      <alignment horizontal="right" vertical="center" wrapText="1"/>
    </xf>
    <xf numFmtId="0" fontId="0" fillId="4" borderId="1" applyAlignment="1" pivotButton="0" quotePrefix="0" xfId="0">
      <alignment horizontal="left" vertical="center" wrapText="1"/>
    </xf>
    <xf numFmtId="0" fontId="2" fillId="7" borderId="3" applyAlignment="1" pivotButton="0" quotePrefix="0" xfId="0">
      <alignment horizontal="right" vertical="center" wrapText="1"/>
    </xf>
    <xf numFmtId="0" fontId="8" fillId="7" borderId="3" applyAlignment="1" pivotButton="0" quotePrefix="0" xfId="0">
      <alignment horizontal="left" vertical="center" wrapText="1"/>
    </xf>
    <xf numFmtId="0" fontId="0" fillId="7" borderId="3" pivotButton="0" quotePrefix="0" xfId="0"/>
    <xf numFmtId="164" fontId="9" fillId="7" borderId="2" applyAlignment="1" pivotButton="0" quotePrefix="0" xfId="0">
      <alignment horizontal="center" vertical="center" wrapText="1"/>
    </xf>
    <xf numFmtId="165" fontId="8" fillId="6" borderId="1" applyAlignment="1" pivotButton="0" quotePrefix="0" xfId="0">
      <alignment horizontal="right" vertical="center" wrapText="1"/>
    </xf>
    <xf numFmtId="164" fontId="7" fillId="4" borderId="1" applyAlignment="1" pivotButton="0" quotePrefix="0" xfId="0">
      <alignment horizontal="center" vertical="center" wrapText="1"/>
    </xf>
    <xf numFmtId="164" fontId="7" fillId="5" borderId="1" applyAlignment="1" pivotButton="0" quotePrefix="0" xfId="0">
      <alignment horizontal="center" vertical="center" wrapText="1"/>
    </xf>
    <xf numFmtId="0" fontId="2" fillId="7" borderId="2" applyAlignment="1" pivotButton="0" quotePrefix="0" xfId="0">
      <alignment horizontal="right" vertical="center" wrapText="1"/>
    </xf>
    <xf numFmtId="165" fontId="9" fillId="7" borderId="2" applyAlignment="1" pivotButton="0" quotePrefix="0" xfId="0">
      <alignment horizontal="right" vertical="center" wrapText="1"/>
    </xf>
    <xf numFmtId="164" fontId="8" fillId="7" borderId="2" applyAlignment="1" pivotButton="0" quotePrefix="0" xfId="0">
      <alignment horizontal="center" vertical="center" wrapText="1"/>
    </xf>
    <xf numFmtId="0" fontId="0" fillId="7" borderId="2" applyAlignment="1" pivotButton="0" quotePrefix="0" xfId="0">
      <alignment horizontal="center" vertical="center" wrapText="1"/>
    </xf>
    <xf numFmtId="164" fontId="7" fillId="6" borderId="1" applyAlignment="1" pivotButton="0" quotePrefix="0" xfId="0">
      <alignment horizontal="center" vertical="center" wrapText="1"/>
    </xf>
    <xf numFmtId="0" fontId="8" fillId="7" borderId="1" applyAlignment="1" pivotButton="0" quotePrefix="0" xfId="0">
      <alignment horizontal="right" vertical="center" wrapText="1"/>
    </xf>
    <xf numFmtId="0" fontId="0" fillId="7" borderId="1" pivotButton="0" quotePrefix="0" xfId="0"/>
    <xf numFmtId="165" fontId="9" fillId="7" borderId="1" applyAlignment="1" pivotButton="0" quotePrefix="0" xfId="0">
      <alignment horizontal="right" vertical="center" wrapText="1"/>
    </xf>
    <xf numFmtId="0" fontId="10" fillId="7" borderId="1" applyAlignment="1" pivotButton="0" quotePrefix="0" xfId="0">
      <alignment horizontal="left" vertical="center" wrapText="1"/>
    </xf>
    <xf numFmtId="165" fontId="8" fillId="5" borderId="1" applyAlignment="1" pivotButton="0" quotePrefix="0" xfId="0">
      <alignment horizontal="right" vertical="center" wrapText="1"/>
    </xf>
    <xf numFmtId="164" fontId="8" fillId="7" borderId="1" applyAlignment="1" pivotButton="0" quotePrefix="0" xfId="0">
      <alignment horizontal="right" vertical="center" wrapText="1"/>
    </xf>
    <xf numFmtId="166" fontId="9" fillId="7" borderId="1" applyAlignment="1" pivotButton="0" quotePrefix="0" xfId="0">
      <alignment horizontal="right" vertical="center" wrapText="1"/>
    </xf>
    <xf numFmtId="165" fontId="7" fillId="6" borderId="1" applyAlignment="1" pivotButton="0" quotePrefix="0" xfId="0">
      <alignment horizontal="right" vertical="center" wrapText="1"/>
    </xf>
    <xf numFmtId="165" fontId="7" fillId="4" borderId="1" applyAlignment="1" pivotButton="0" quotePrefix="0" xfId="0">
      <alignment horizontal="right" vertical="center" wrapText="1"/>
    </xf>
    <xf numFmtId="165" fontId="7" fillId="5" borderId="1" applyAlignment="1" pivotButton="0" quotePrefix="0" xfId="0">
      <alignment horizontal="right" vertical="center" wrapText="1"/>
    </xf>
    <xf numFmtId="165" fontId="8" fillId="7" borderId="2" applyAlignment="1" pivotButton="0" quotePrefix="0" xfId="0">
      <alignment horizontal="right" vertical="center" wrapText="1"/>
    </xf>
    <xf numFmtId="165" fontId="8" fillId="4" borderId="1" applyAlignment="1" pivotButton="0" quotePrefix="0" xfId="0">
      <alignment horizontal="right" vertical="center" wrapText="1"/>
    </xf>
    <xf numFmtId="164" fontId="8" fillId="4" borderId="1" applyAlignment="1" pivotButton="0" quotePrefix="0" xfId="0">
      <alignment horizontal="center" vertical="center" wrapText="1"/>
    </xf>
    <xf numFmtId="165" fontId="8" fillId="7" borderId="1" applyAlignment="1" pivotButton="0" quotePrefix="0" xfId="0">
      <alignment horizontal="right" vertical="center" wrapText="1"/>
    </xf>
    <xf numFmtId="164" fontId="9" fillId="7" borderId="1" applyAlignment="1" pivotButton="0" quotePrefix="0" xfId="0">
      <alignment horizontal="right" vertical="center" wrapText="1"/>
    </xf>
    <xf numFmtId="49" fontId="8" fillId="5" borderId="1" applyAlignment="1" pivotButton="0" quotePrefix="0" xfId="0">
      <alignment horizontal="center" vertical="center" wrapText="1"/>
    </xf>
    <xf numFmtId="0" fontId="10" fillId="7" borderId="1" pivotButton="0" quotePrefix="0" xfId="0"/>
    <xf numFmtId="0" fontId="10" fillId="5" borderId="1" pivotButton="0" quotePrefix="0" xfId="0"/>
    <xf numFmtId="0" fontId="10" fillId="0" borderId="0" applyAlignment="1" pivotButton="0" quotePrefix="0" xfId="0">
      <alignment horizontal="left" vertical="top" wrapText="1"/>
    </xf>
    <xf numFmtId="1" fontId="7" fillId="4" borderId="1" applyAlignment="1" pivotButton="0" quotePrefix="0" xfId="0">
      <alignment horizontal="center" vertical="center" wrapText="1"/>
    </xf>
    <xf numFmtId="1" fontId="7" fillId="5" borderId="1" applyAlignment="1" pivotButton="0" quotePrefix="0" xfId="0">
      <alignment horizontal="center" vertical="center" wrapText="1"/>
    </xf>
    <xf numFmtId="167" fontId="9" fillId="7" borderId="2" applyAlignment="1" pivotButton="0" quotePrefix="0" xfId="0">
      <alignment horizontal="center" vertical="center" wrapText="1"/>
    </xf>
    <xf numFmtId="164" fontId="8" fillId="7" borderId="1" applyAlignment="1" pivotButton="0" quotePrefix="0" xfId="0">
      <alignment horizontal="center" vertical="center" wrapText="1"/>
    </xf>
    <xf numFmtId="0" fontId="0" fillId="7" borderId="1" applyAlignment="1" pivotButton="0" quotePrefix="0" xfId="0">
      <alignment horizontal="center" vertical="center" wrapText="1"/>
    </xf>
    <xf numFmtId="0" fontId="10" fillId="4" borderId="1" pivotButton="0" quotePrefix="0" xfId="0"/>
    <xf numFmtId="165" fontId="0" fillId="4" borderId="1" applyAlignment="1" pivotButton="0" quotePrefix="0" xfId="0">
      <alignment horizontal="right" vertical="center" wrapText="1"/>
    </xf>
    <xf numFmtId="165" fontId="0" fillId="5" borderId="1" applyAlignment="1" pivotButton="0" quotePrefix="0" xfId="0">
      <alignment horizontal="right" vertical="center" wrapText="1"/>
    </xf>
    <xf numFmtId="164" fontId="0" fillId="4" borderId="1" applyAlignment="1" pivotButton="0" quotePrefix="0" xfId="0">
      <alignment horizontal="center" vertical="center" wrapText="1"/>
    </xf>
    <xf numFmtId="164" fontId="0" fillId="5" borderId="1" applyAlignment="1" pivotButton="0" quotePrefix="0" xfId="0">
      <alignment horizontal="center" vertical="center" wrapText="1"/>
    </xf>
    <xf numFmtId="168" fontId="9" fillId="7" borderId="1" applyAlignment="1" pivotButton="0" quotePrefix="0" xfId="0">
      <alignment horizontal="center" vertical="center" wrapText="1"/>
    </xf>
    <xf numFmtId="164" fontId="8" fillId="5" borderId="1" applyAlignment="1" pivotButton="0" quotePrefix="0" xfId="0">
      <alignment horizontal="center" vertical="center" wrapText="1"/>
    </xf>
    <xf numFmtId="165" fontId="8" fillId="4" borderId="1" applyAlignment="1" pivotButton="0" quotePrefix="0" xfId="0">
      <alignment horizontal="center" vertical="center" wrapText="1"/>
    </xf>
    <xf numFmtId="165" fontId="9" fillId="7" borderId="2" applyAlignment="1" pivotButton="0" quotePrefix="0" xfId="0">
      <alignment horizontal="center" vertical="center" wrapText="1"/>
    </xf>
    <xf numFmtId="0" fontId="8" fillId="7" borderId="2" pivotButton="0" quotePrefix="0" xfId="0"/>
    <xf numFmtId="169" fontId="7" fillId="5" borderId="1" applyAlignment="1" pivotButton="0" quotePrefix="0" xfId="0">
      <alignment horizontal="center" vertical="center" wrapText="1"/>
    </xf>
    <xf numFmtId="169" fontId="7" fillId="4" borderId="1" applyAlignment="1" pivotButton="0" quotePrefix="0" xfId="0">
      <alignment horizontal="center" vertical="center" wrapText="1"/>
    </xf>
    <xf numFmtId="0" fontId="8" fillId="7" borderId="1" pivotButton="0" quotePrefix="0" xfId="0"/>
    <xf numFmtId="165" fontId="8" fillId="7" borderId="1" pivotButton="0" quotePrefix="0" xfId="0"/>
    <xf numFmtId="0" fontId="2" fillId="4" borderId="1" applyAlignment="1" pivotButton="0" quotePrefix="0" xfId="0">
      <alignment horizontal="right" vertical="center" wrapText="1"/>
    </xf>
    <xf numFmtId="165" fontId="9" fillId="4" borderId="1" applyAlignment="1" pivotButton="0" quotePrefix="0" xfId="0">
      <alignment horizontal="right" vertical="center" wrapText="1"/>
    </xf>
    <xf numFmtId="0" fontId="1" fillId="7" borderId="2" applyAlignment="1" pivotButton="0" quotePrefix="0" xfId="0">
      <alignment horizontal="right" vertical="center" wrapText="1"/>
    </xf>
    <xf numFmtId="0" fontId="8" fillId="7" borderId="1" applyAlignment="1" pivotButton="0" quotePrefix="0" xfId="0">
      <alignment horizontal="left" vertical="center" wrapText="1"/>
    </xf>
    <xf numFmtId="0" fontId="8" fillId="7" borderId="2" applyAlignment="1" pivotButton="0" quotePrefix="0" xfId="0">
      <alignment horizontal="left" vertical="center" wrapText="1"/>
    </xf>
    <xf numFmtId="164" fontId="9" fillId="7" borderId="1" applyAlignment="1" pivotButton="0" quotePrefix="0" xfId="0">
      <alignment horizontal="center" vertical="center" wrapText="1"/>
    </xf>
    <xf numFmtId="170" fontId="9" fillId="7" borderId="1" applyAlignment="1" pivotButton="0" quotePrefix="0" xfId="0">
      <alignment horizontal="center" vertical="center" wrapText="1"/>
    </xf>
    <xf numFmtId="0" fontId="10" fillId="7" borderId="2" pivotButton="0" quotePrefix="0" xfId="0"/>
    <xf numFmtId="0" fontId="11" fillId="8" borderId="1" applyAlignment="1" pivotButton="0" quotePrefix="0" xfId="0">
      <alignment horizontal="center" vertical="center" wrapText="1"/>
    </xf>
    <xf numFmtId="0" fontId="0" fillId="8" borderId="1" pivotButton="0" quotePrefix="0" xfId="0"/>
    <xf numFmtId="165" fontId="9" fillId="8" borderId="1" applyAlignment="1" pivotButton="0" quotePrefix="0" xfId="0">
      <alignment horizontal="center" vertical="center" wrapText="1"/>
    </xf>
    <xf numFmtId="171" fontId="9" fillId="8" borderId="1" applyAlignment="1" pivotButton="0" quotePrefix="0" xfId="0">
      <alignment horizontal="center" vertical="center" wrapText="1"/>
    </xf>
    <xf numFmtId="164" fontId="9" fillId="0" borderId="0" applyAlignment="1" pivotButton="0" quotePrefix="0" xfId="0">
      <alignment horizontal="center" vertical="center" wrapText="1"/>
    </xf>
    <xf numFmtId="164" fontId="9" fillId="8" borderId="1" applyAlignment="1" pivotButton="0" quotePrefix="0" xfId="0">
      <alignment horizontal="center" vertical="center" wrapText="1"/>
    </xf>
  </cellXfs>
  <cellStyles count="1">
    <cellStyle name="Normal" xfId="0" builtinId="0" hidden="0"/>
  </cellStyles>
  <dxfs count="3">
    <dxf>
      <font>
        <name val="Segoe UI"/>
        <b val="1"/>
        <color rgb="00166534"/>
        <sz val="9.5"/>
      </font>
      <fill>
        <patternFill patternType="solid">
          <fgColor rgb="00DCFCE7"/>
        </patternFill>
      </fill>
    </dxf>
    <dxf>
      <font>
        <name val="Segoe UI"/>
        <b val="1"/>
        <color rgb="00854D0E"/>
        <sz val="9.5"/>
      </font>
      <fill>
        <patternFill patternType="solid">
          <fgColor rgb="00FEF9C3"/>
        </patternFill>
      </fill>
    </dxf>
    <dxf>
      <font>
        <name val="Segoe UI"/>
        <b val="1"/>
        <color rgb="00991B1B"/>
        <sz val="9.5"/>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charts/chart1.xml><?xml version="1.0" encoding="utf-8"?>
<chartSpace xmlns:a="http://schemas.openxmlformats.org/drawingml/2006/main" xmlns="http://schemas.openxmlformats.org/drawingml/2006/chart">
  <style val="10"/>
  <chart>
    <title>
      <tx>
        <rich>
          <a:bodyPr/>
          <a:p>
            <a:pPr>
              <a:defRPr/>
            </a:pPr>
            <a:r>
              <a:t>Distribución Presupuestaria 50/30/20</a:t>
            </a:r>
          </a:p>
        </rich>
      </tx>
    </title>
    <plotArea>
      <doughnutChart>
        <varyColors val="1"/>
        <ser>
          <idx val="0"/>
          <order val="0"/>
          <tx>
            <strRef>
              <f>'10_Dashboard_Ejecutivo'!C27</f>
            </strRef>
          </tx>
          <spPr>
            <a:ln>
              <a:prstDash val="solid"/>
            </a:ln>
          </spPr>
          <cat>
            <numRef>
              <f>'10_Dashboard_Ejecutivo'!$B$28:$B$30</f>
            </numRef>
          </cat>
          <val>
            <numRef>
              <f>'10_Dashboard_Ejecutivo'!$C$28:$C$30</f>
            </numRef>
          </val>
        </ser>
        <firstSliceAng val="0"/>
        <holeSize val="10"/>
      </doughnutChart>
    </plotArea>
    <legend>
      <legendPos val="r"/>
    </legend>
    <plotVisOnly val="1"/>
    <dispBlanksAs val="gap"/>
  </chart>
</chartSpace>
</file>

<file path=xl/charts/chart2.xml><?xml version="1.0" encoding="utf-8"?>
<chartSpace xmlns:a="http://schemas.openxmlformats.org/drawingml/2006/main" xmlns="http://schemas.openxmlformats.org/drawingml/2006/chart">
  <style val="10"/>
  <chart>
    <title>
      <tx>
        <rich>
          <a:bodyPr/>
          <a:p>
            <a:pPr>
              <a:defRPr/>
            </a:pPr>
            <a:r>
              <a:t>Estructura Patrimonial (Activos vs Pasivos vs Neto)</a:t>
            </a:r>
          </a:p>
        </rich>
      </tx>
    </title>
    <plotArea>
      <barChart>
        <barDir val="col"/>
        <grouping val="clustered"/>
        <ser>
          <idx val="0"/>
          <order val="0"/>
          <tx>
            <strRef>
              <f>'10_Dashboard_Ejecutivo'!F27</f>
            </strRef>
          </tx>
          <spPr>
            <a:ln>
              <a:prstDash val="solid"/>
            </a:ln>
          </spPr>
          <cat>
            <numRef>
              <f>'10_Dashboard_Ejecutivo'!$E$28:$E$30</f>
            </numRef>
          </cat>
          <val>
            <numRef>
              <f>'10_Dashboard_Ejecutivo'!$F$28:$F$30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Monto ($)</a:t>
                </a:r>
              </a:p>
            </rich>
          </tx>
        </title>
        <majorTickMark val="none"/>
        <minorTickMark val="none"/>
        <crossAx val="10"/>
      </valAx>
    </plotArea>
    <plotVisOnly val="1"/>
    <dispBlanksAs val="gap"/>
  </chart>
</chartSpace>
</file>

<file path=xl/charts/chart3.xml><?xml version="1.0" encoding="utf-8"?>
<chartSpace xmlns:a="http://schemas.openxmlformats.org/drawingml/2006/main" xmlns="http://schemas.openxmlformats.org/drawingml/2006/chart">
  <style val="10"/>
  <chart>
    <title>
      <tx>
        <rich>
          <a:bodyPr/>
          <a:p>
            <a:pPr>
              <a:defRPr/>
            </a:pPr>
            <a:r>
              <a:t>Flujo de Caja Anual Consolidado</a:t>
            </a:r>
          </a:p>
        </rich>
      </tx>
    </title>
    <plotArea>
      <barChart>
        <barDir val="col"/>
        <grouping val="clustered"/>
        <ser>
          <idx val="0"/>
          <order val="0"/>
          <tx>
            <strRef>
              <f>'10_Dashboard_Ejecutivo'!I27</f>
            </strRef>
          </tx>
          <spPr>
            <a:ln>
              <a:prstDash val="solid"/>
            </a:ln>
          </spPr>
          <cat>
            <numRef>
              <f>'10_Dashboard_Ejecutivo'!$H$28:$H$30</f>
            </numRef>
          </cat>
          <val>
            <numRef>
              <f>'10_Dashboard_Ejecutivo'!$I$28:$I$30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Monto ($)</a:t>
                </a:r>
              </a:p>
            </rich>
          </tx>
        </title>
        <majorTickMark val="none"/>
        <minorTickMark val="none"/>
        <crossAx val="10"/>
      </valAx>
    </plotArea>
    <plotVisOnly val="1"/>
    <dispBlanksAs val="gap"/>
  </chart>
</chartSpace>
</file>

<file path=xl/comments/comment1.xml><?xml version="1.0" encoding="utf-8"?>
<comments xmlns="http://schemas.openxmlformats.org/spreadsheetml/2006/main">
  <authors>
    <author>Guía XPROF</author>
  </authors>
  <commentList>
    <comment ref="E8" authorId="0" shapeId="0">
      <text>
        <t>Del 1 al 5, ¿qué tanto te describe esta frase?
1 = nunca me pasa   5 = me pasa siempre.
Responde como eres hoy, no como crees que deberías ser.</t>
      </text>
    </comment>
  </commentList>
</comments>
</file>

<file path=xl/comments/comment2.xml><?xml version="1.0" encoding="utf-8"?>
<comments xmlns="http://schemas.openxmlformats.org/spreadsheetml/2006/main">
  <authors>
    <author>Guía XPROF</author>
  </authors>
  <commentList>
    <comment ref="E8" authorId="0" shapeId="0">
      <text>
        <t>Cuánto dinero en efectivo tienes hoy, fuera del banco.
Si no llevas la cuenta, escribe un aproximado: es mejor que dejarlo vacío.</t>
      </text>
    </comment>
    <comment ref="E22" authorId="0" shapeId="0">
      <text>
        <t>Escribe el SALDO que aún debes, no la cuota mensual.
Lo encuentras en tu extracto como «saldo a capital».</t>
      </text>
    </comment>
  </commentList>
</comments>
</file>

<file path=xl/comments/comment3.xml><?xml version="1.0" encoding="utf-8"?>
<comments xmlns="http://schemas.openxmlformats.org/spreadsheetml/2006/main">
  <authors>
    <author>Guía XPROF</author>
  </authors>
  <commentList>
    <comment ref="E8" authorId="0" shapeId="0">
      <text>
        <t>Proyectado = lo que planeas que entre.
Real = lo que en verdad entró.
Llena «Proyectado» al inicio del mes y «Real» al cerrarlo.</t>
      </text>
    </comment>
    <comment ref="E16" authorId="0" shapeId="0">
      <text>
        <t>Necesidades son los gastos que NO puedes eliminar sin afectar tu vida:
techo, comida, salud, transporte y servicios.</t>
      </text>
    </comment>
    <comment ref="E39" authorId="0" shapeId="0">
      <text>
        <t>Escribe lo que cuesta UNA sola vez.
La hoja calcula sola cuánto suma al mes, al año y a 10 años.</t>
      </text>
    </comment>
  </commentList>
</comments>
</file>

<file path=xl/comments/comment4.xml><?xml version="1.0" encoding="utf-8"?>
<comments xmlns="http://schemas.openxmlformats.org/spreadsheetml/2006/main">
  <authors>
    <author>Guía XPROF</author>
  </authors>
  <commentList>
    <comment ref="F8" authorId="0" shapeId="0">
      <text>
        <t>La tasa de interés anual que te cobra el banco (TEA).
Aparece en tu extracto o en el contrato del crédito.</t>
      </text>
    </comment>
    <comment ref="E24" authorId="0" shapeId="0">
      <text>
        <t>Cuánto puedes pagar de MÁS cada mes, además de las cuotas mínimas.
Aunque sea poco, cambia mucho el resultado. Prueba distintos valores.</t>
      </text>
    </comment>
  </commentList>
</comments>
</file>

<file path=xl/comments/comment5.xml><?xml version="1.0" encoding="utf-8"?>
<comments xmlns="http://schemas.openxmlformats.org/spreadsheetml/2006/main">
  <authors>
    <author>Guía XPROF</author>
  </authors>
  <commentList>
    <comment ref="E15" authorId="0" shapeId="0">
      <text>
        <t>Lo que pagas cada mes aunque no vendas nada:
arriendo, nómina fija, servicios y suscripciones.</t>
      </text>
    </comment>
    <comment ref="G42" authorId="0" shapeId="0">
      <text>
        <t>Qué parte de tus ventas totales representa esta línea.
Los cuatro porcentajes deben sumar 100%.</t>
      </text>
    </comment>
  </commentList>
</comments>
</file>

<file path=xl/comments/comment6.xml><?xml version="1.0" encoding="utf-8"?>
<comments xmlns="http://schemas.openxmlformats.org/spreadsheetml/2006/main">
  <authors>
    <author>Guía XPROF</author>
  </authors>
  <commentList>
    <comment ref="D8" authorId="0" shapeId="0">
      <text>
        <t>Con cuánto dinero disponible arrancas el mes 1.
De ahí en adelante la hoja encadena los saldos sola.</t>
      </text>
    </comment>
  </commentList>
</comments>
</file>

<file path=xl/comments/comment7.xml><?xml version="1.0" encoding="utf-8"?>
<comments xmlns="http://schemas.openxmlformats.org/spreadsheetml/2006/main">
  <authors>
    <author>Guía XPROF</author>
  </authors>
  <commentList>
    <comment ref="E9" authorId="0" shapeId="0">
      <text>
        <t>4% es el estándar internacional (Estudio Trinity).
Si quieres ser más prudente, usa 3.5%.</t>
      </text>
    </comment>
    <comment ref="E14" authorId="0" shapeId="0">
      <text>
        <t>Rendimiento anual esperado YA descontando la inflación.
7% es un promedio histórico prudente para una cartera diversificada.</t>
      </text>
    </comment>
  </commentList>
</comment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 Type="http://schemas.openxmlformats.org/officeDocument/2006/relationships/image" Target="/xl/media/image5.png" Id="rId3" /></Relationships>
</file>

<file path=xl/drawings/_rels/drawing3.xml.rels><Relationships xmlns="http://schemas.openxmlformats.org/package/2006/relationships"><Relationship Type="http://schemas.openxmlformats.org/officeDocument/2006/relationships/image" Target="/xl/media/image6.png" Id="rId1" /><Relationship Type="http://schemas.openxmlformats.org/officeDocument/2006/relationships/image" Target="/xl/media/image7.png" Id="rId2" /><Relationship Type="http://schemas.openxmlformats.org/officeDocument/2006/relationships/image" Target="/xl/media/image8.png" Id="rId3" /><Relationship Type="http://schemas.openxmlformats.org/officeDocument/2006/relationships/image" Target="/xl/media/image9.png" Id="rId4" /></Relationships>
</file>

<file path=xl/drawings/_rels/drawing4.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6</row>
      <rowOff>0</rowOff>
    </from>
    <ext cx="8572500" cy="5715000"/>
    <pic>
      <nvPicPr>
        <cNvPr id="1" name="Image 1" descr="Picture"/>
        <cNvPicPr/>
      </nvPicPr>
      <blipFill>
        <a:blip cstate="print" r:embed="rId1"/>
        <a:stretch>
          <a:fillRect/>
        </a:stretch>
      </blipFill>
      <spPr>
        <a:prstGeom prst="rect"/>
      </spPr>
    </pic>
    <clientData/>
  </oneCellAnchor>
  <oneCellAnchor>
    <from>
      <col>1</col>
      <colOff>0</colOff>
      <row>40</row>
      <rowOff>0</rowOff>
    </from>
    <ext cx="8572500" cy="5886450"/>
    <pic>
      <nvPicPr>
        <cNvPr id="2" name="Image 2" descr="Picture"/>
        <cNvPicPr/>
      </nvPicPr>
      <blipFill>
        <a:blip cstate="print" r:embed="rId2"/>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1</col>
      <colOff>0</colOff>
      <row>6</row>
      <rowOff>0</rowOff>
    </from>
    <ext cx="8572500" cy="5353050"/>
    <pic>
      <nvPicPr>
        <cNvPr id="1" name="Image 1" descr="Picture"/>
        <cNvPicPr/>
      </nvPicPr>
      <blipFill>
        <a:blip cstate="print" r:embed="rId1"/>
        <a:stretch>
          <a:fillRect/>
        </a:stretch>
      </blipFill>
      <spPr>
        <a:prstGeom prst="rect"/>
      </spPr>
    </pic>
    <clientData/>
  </oneCellAnchor>
  <oneCellAnchor>
    <from>
      <col>1</col>
      <colOff>0</colOff>
      <row>38</row>
      <rowOff>0</rowOff>
    </from>
    <ext cx="8572500" cy="6286500"/>
    <pic>
      <nvPicPr>
        <cNvPr id="2" name="Image 2" descr="Picture"/>
        <cNvPicPr/>
      </nvPicPr>
      <blipFill>
        <a:blip cstate="print" r:embed="rId2"/>
        <a:stretch>
          <a:fillRect/>
        </a:stretch>
      </blipFill>
      <spPr>
        <a:prstGeom prst="rect"/>
      </spPr>
    </pic>
    <clientData/>
  </oneCellAnchor>
  <oneCellAnchor>
    <from>
      <col>1</col>
      <colOff>0</colOff>
      <row>75</row>
      <rowOff>0</rowOff>
    </from>
    <ext cx="8572500" cy="5000625"/>
    <pic>
      <nvPicPr>
        <cNvPr id="3" name="Image 3" descr="Picture"/>
        <cNvPicPr/>
      </nvPicPr>
      <blipFill>
        <a:blip cstate="print" r:embed="rId3"/>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1</col>
      <colOff>0</colOff>
      <row>6</row>
      <rowOff>0</rowOff>
    </from>
    <ext cx="8572500" cy="5743575"/>
    <pic>
      <nvPicPr>
        <cNvPr id="1" name="Image 1" descr="Picture"/>
        <cNvPicPr/>
      </nvPicPr>
      <blipFill>
        <a:blip cstate="print" r:embed="rId1"/>
        <a:stretch>
          <a:fillRect/>
        </a:stretch>
      </blipFill>
      <spPr>
        <a:prstGeom prst="rect"/>
      </spPr>
    </pic>
    <clientData/>
  </oneCellAnchor>
  <oneCellAnchor>
    <from>
      <col>1</col>
      <colOff>0</colOff>
      <row>40</row>
      <rowOff>0</rowOff>
    </from>
    <ext cx="8572500" cy="5000625"/>
    <pic>
      <nvPicPr>
        <cNvPr id="2" name="Image 2" descr="Picture"/>
        <cNvPicPr/>
      </nvPicPr>
      <blipFill>
        <a:blip cstate="print" r:embed="rId2"/>
        <a:stretch>
          <a:fillRect/>
        </a:stretch>
      </blipFill>
      <spPr>
        <a:prstGeom prst="rect"/>
      </spPr>
    </pic>
    <clientData/>
  </oneCellAnchor>
  <oneCellAnchor>
    <from>
      <col>1</col>
      <colOff>0</colOff>
      <row>70</row>
      <rowOff>0</rowOff>
    </from>
    <ext cx="8572500" cy="5924550"/>
    <pic>
      <nvPicPr>
        <cNvPr id="3" name="Image 3" descr="Picture"/>
        <cNvPicPr/>
      </nvPicPr>
      <blipFill>
        <a:blip cstate="print" r:embed="rId3"/>
        <a:stretch>
          <a:fillRect/>
        </a:stretch>
      </blipFill>
      <spPr>
        <a:prstGeom prst="rect"/>
      </spPr>
    </pic>
    <clientData/>
  </oneCellAnchor>
  <oneCellAnchor>
    <from>
      <col>1</col>
      <colOff>0</colOff>
      <row>105</row>
      <rowOff>0</rowOff>
    </from>
    <ext cx="8572500" cy="6067425"/>
    <pic>
      <nvPicPr>
        <cNvPr id="4" name="Image 4" descr="Picture"/>
        <cNvPicPr/>
      </nvPicPr>
      <blipFill>
        <a:blip cstate="print" r:embed="rId4"/>
        <a:stretch>
          <a:fillRect/>
        </a:stretch>
      </blipFill>
      <spPr>
        <a:prstGeom prst="rect"/>
      </spPr>
    </pic>
    <clientData/>
  </oneCellAnchor>
</wsDr>
</file>

<file path=xl/drawings/drawing4.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31</row>
      <rowOff>0</rowOff>
    </from>
    <ext cx="4860000" cy="2700000"/>
    <graphicFrame>
      <nvGraphicFramePr>
        <cNvPr id="1" name="Chart 1"/>
        <cNvGraphicFramePr/>
      </nvGraphicFramePr>
      <xfrm/>
      <a:graphic>
        <a:graphicData uri="http://schemas.openxmlformats.org/drawingml/2006/chart">
          <c:chart r:id="rId1"/>
        </a:graphicData>
      </a:graphic>
    </graphicFrame>
    <clientData/>
  </oneCellAnchor>
  <oneCellAnchor>
    <from>
      <col>4</col>
      <colOff>0</colOff>
      <row>31</row>
      <rowOff>0</rowOff>
    </from>
    <ext cx="4860000" cy="2700000"/>
    <graphicFrame>
      <nvGraphicFramePr>
        <cNvPr id="2" name="Chart 2"/>
        <cNvGraphicFramePr/>
      </nvGraphicFramePr>
      <xfrm/>
      <a:graphic>
        <a:graphicData uri="http://schemas.openxmlformats.org/drawingml/2006/chart">
          <c:chart r:id="rId2"/>
        </a:graphicData>
      </a:graphic>
    </graphicFrame>
    <clientData/>
  </oneCellAnchor>
  <oneCellAnchor>
    <from>
      <col>7</col>
      <colOff>0</colOff>
      <row>31</row>
      <rowOff>0</rowOff>
    </from>
    <ext cx="4860000" cy="2700000"/>
    <graphicFrame>
      <nvGraphicFramePr>
        <cNvPr id="3" name="Chart 3"/>
        <cNvGraphicFramePr/>
      </nvGraphicFramePr>
      <xfrm/>
      <a:graphic>
        <a:graphicData uri="http://schemas.openxmlformats.org/drawingml/2006/chart">
          <c:chart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 /></Relationships>
</file>

<file path=xl/worksheets/_rels/sheet4.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6.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7.xml.rels><Relationships xmlns="http://schemas.openxmlformats.org/package/2006/relationships"><Relationship Type="http://schemas.openxmlformats.org/officeDocument/2006/relationships/drawing" Target="/xl/drawings/drawing2.xml" Id="rId1" /></Relationships>
</file>

<file path=xl/worksheets/_rels/sheet8.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9.xml.rels><Relationships xmlns="http://schemas.openxmlformats.org/package/2006/relationships"><Relationship Type="http://schemas.openxmlformats.org/officeDocument/2006/relationships/drawing" Target="/xl/drawings/drawing3.xml" Id="rId1" /></Relationships>
</file>

<file path=xl/worksheets/_rels/sheet10.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_rels/sheet11.xml.rels><Relationships xmlns="http://schemas.openxmlformats.org/package/2006/relationships"><Relationship Type="http://schemas.openxmlformats.org/officeDocument/2006/relationships/comments" Target="/xl/comments/comment5.xml" Id="comments" /><Relationship Type="http://schemas.openxmlformats.org/officeDocument/2006/relationships/vmlDrawing" Target="/xl/drawings/commentsDrawing5.vml" Id="anysvml" /></Relationships>
</file>

<file path=xl/worksheets/_rels/sheet12.xml.rels><Relationships xmlns="http://schemas.openxmlformats.org/package/2006/relationships"><Relationship Type="http://schemas.openxmlformats.org/officeDocument/2006/relationships/comments" Target="/xl/comments/comment6.xml" Id="comments" /><Relationship Type="http://schemas.openxmlformats.org/officeDocument/2006/relationships/vmlDrawing" Target="/xl/drawings/commentsDrawing6.vml" Id="anysvml" /></Relationships>
</file>

<file path=xl/worksheets/_rels/sheet14.xml.rels><Relationships xmlns="http://schemas.openxmlformats.org/package/2006/relationships"><Relationship Type="http://schemas.openxmlformats.org/officeDocument/2006/relationships/comments" Target="/xl/comments/comment7.xml" Id="comments" /><Relationship Type="http://schemas.openxmlformats.org/officeDocument/2006/relationships/vmlDrawing" Target="/xl/drawings/commentsDrawing7.vml" Id="anysvml" /></Relationships>
</file>

<file path=xl/worksheets/_rels/sheet15.xml.rels><Relationships xmlns="http://schemas.openxmlformats.org/package/2006/relationships"><Relationship Type="http://schemas.openxmlformats.org/officeDocument/2006/relationships/drawing" Target="/xl/drawings/drawing4.xml" Id="rId1" /></Relationships>
</file>

<file path=xl/worksheets/sheet1.xml><?xml version="1.0" encoding="utf-8"?>
<worksheet xmlns="http://schemas.openxmlformats.org/spreadsheetml/2006/main">
  <sheetPr>
    <outlinePr summaryBelow="1" summaryRight="1"/>
    <pageSetUpPr fitToPage="1"/>
  </sheetPr>
  <dimension ref="B1:O24"/>
  <sheetViews>
    <sheetView showGridLines="0" view="pageLayout" workbookViewId="0">
      <selection activeCell="A1" sqref="A1"/>
    </sheetView>
  </sheetViews>
  <sheetFormatPr baseColWidth="8" defaultRowHeight="15"/>
  <cols>
    <col width="3" customWidth="1" min="1" max="1"/>
    <col width="9.5"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s>
  <sheetData>
    <row r="1" ht="30" customHeight="1">
      <c r="B1" s="1" t="inlineStr">
        <is>
          <t>EMPIEZA AQUÍ</t>
        </is>
      </c>
    </row>
    <row r="2" ht="22" customHeight="1">
      <c r="B2" s="2" t="inlineStr">
        <is>
          <t>Antes de llenar nada, dedica tres minutos a esta hoja. Te evita perderte y te ahorra trabajo.</t>
        </is>
      </c>
    </row>
    <row r="3" ht="8" customHeight="1">
      <c r="B3" s="3" t="n"/>
      <c r="C3" s="3" t="n"/>
      <c r="D3" s="3" t="n"/>
      <c r="E3" s="3" t="n"/>
      <c r="F3" s="3" t="n"/>
      <c r="G3" s="3" t="n"/>
      <c r="H3" s="3" t="n"/>
      <c r="I3" s="3" t="n"/>
      <c r="J3" s="3" t="n"/>
      <c r="K3" s="3" t="n"/>
      <c r="L3" s="3" t="n"/>
      <c r="M3" s="3" t="n"/>
      <c r="N3" s="3" t="n"/>
      <c r="O3" s="3" t="n"/>
    </row>
    <row r="5" ht="24" customHeight="1">
      <c r="B5" s="4" t="inlineStr">
        <is>
          <t>1. EL KIT TIENE DOS TIPOS DE HOJAS</t>
        </is>
      </c>
      <c r="C5" s="5" t="n"/>
      <c r="D5" s="5" t="n"/>
      <c r="E5" s="5" t="n"/>
      <c r="F5" s="5" t="n"/>
      <c r="G5" s="5" t="n"/>
      <c r="H5" s="5" t="n"/>
      <c r="I5" s="5" t="n"/>
      <c r="J5" s="5" t="n"/>
      <c r="K5" s="5" t="n"/>
      <c r="L5" s="5" t="n"/>
      <c r="M5" s="5" t="n"/>
      <c r="N5" s="5" t="n"/>
      <c r="O5" s="5" t="n"/>
    </row>
    <row r="6" ht="38" customHeight="1">
      <c r="B6" s="6" t="inlineStr">
        <is>
          <t>HOJAS DE GUÍA</t>
        </is>
      </c>
      <c r="C6" s="7" t="n"/>
      <c r="D6" s="7" t="n"/>
      <c r="E6" s="8" t="inlineStr">
        <is>
          <t>Las que empiezan con «Guia_» y esta misma.</t>
        </is>
      </c>
      <c r="F6" s="7" t="n"/>
      <c r="G6" s="7" t="n"/>
      <c r="H6" s="7" t="n"/>
      <c r="I6" s="8" t="inlineStr">
        <is>
          <t>Se leen, no se llenan. Tienen dibujos y ejemplos para entender de qué se trata.</t>
        </is>
      </c>
      <c r="J6" s="7" t="n"/>
      <c r="K6" s="7" t="n"/>
      <c r="L6" s="7" t="n"/>
      <c r="M6" s="7" t="n"/>
      <c r="N6" s="7" t="n"/>
      <c r="O6" s="7" t="n"/>
    </row>
    <row r="7" ht="38" customHeight="1">
      <c r="B7" s="9" t="inlineStr">
        <is>
          <t>HOJAS DE TRABAJO</t>
        </is>
      </c>
      <c r="C7" s="10" t="n"/>
      <c r="D7" s="10" t="n"/>
      <c r="E7" s="11" t="inlineStr">
        <is>
          <t>Las numeradas: 01, 02, 03 … hasta la 10.</t>
        </is>
      </c>
      <c r="F7" s="10" t="n"/>
      <c r="G7" s="10" t="n"/>
      <c r="H7" s="10" t="n"/>
      <c r="I7" s="11" t="inlineStr">
        <is>
          <t>Aquí sí escribes tus datos. Solo en las casillas amarillas.</t>
        </is>
      </c>
      <c r="J7" s="10" t="n"/>
      <c r="K7" s="10" t="n"/>
      <c r="L7" s="10" t="n"/>
      <c r="M7" s="10" t="n"/>
      <c r="N7" s="10" t="n"/>
      <c r="O7" s="10" t="n"/>
    </row>
    <row r="9" ht="24" customHeight="1">
      <c r="B9" s="4" t="inlineStr">
        <is>
          <t>2. LOS COLORES TE DICEN QUÉ HACER</t>
        </is>
      </c>
      <c r="C9" s="5" t="n"/>
      <c r="D9" s="5" t="n"/>
      <c r="E9" s="5" t="n"/>
      <c r="F9" s="5" t="n"/>
      <c r="G9" s="5" t="n"/>
      <c r="H9" s="5" t="n"/>
      <c r="I9" s="5" t="n"/>
      <c r="J9" s="5" t="n"/>
      <c r="K9" s="5" t="n"/>
      <c r="L9" s="5" t="n"/>
      <c r="M9" s="5" t="n"/>
      <c r="N9" s="5" t="n"/>
      <c r="O9" s="5" t="n"/>
    </row>
    <row r="10" ht="24" customHeight="1">
      <c r="B10" s="12" t="inlineStr">
        <is>
          <t>AMARILLO CLARO</t>
        </is>
      </c>
      <c r="E10" s="11" t="inlineStr">
        <is>
          <t>Escribe aquí. Son tus datos.</t>
        </is>
      </c>
      <c r="F10" s="10" t="n"/>
      <c r="G10" s="10" t="n"/>
      <c r="H10" s="10" t="n"/>
      <c r="I10" s="10" t="n"/>
      <c r="J10" s="10" t="n"/>
      <c r="K10" s="10" t="n"/>
      <c r="L10" s="10" t="n"/>
      <c r="M10" s="10" t="n"/>
      <c r="N10" s="10" t="n"/>
      <c r="O10" s="10" t="n"/>
    </row>
    <row r="11" ht="24" customHeight="1">
      <c r="B11" s="13" t="inlineStr">
        <is>
          <t>BLANCO O GRIS</t>
        </is>
      </c>
      <c r="E11" s="11" t="inlineStr">
        <is>
          <t>No lo toques. Se calcula solo.</t>
        </is>
      </c>
      <c r="F11" s="10" t="n"/>
      <c r="G11" s="10" t="n"/>
      <c r="H11" s="10" t="n"/>
      <c r="I11" s="10" t="n"/>
      <c r="J11" s="10" t="n"/>
      <c r="K11" s="10" t="n"/>
      <c r="L11" s="10" t="n"/>
      <c r="M11" s="10" t="n"/>
      <c r="N11" s="10" t="n"/>
      <c r="O11" s="10" t="n"/>
    </row>
    <row r="12" ht="24" customHeight="1">
      <c r="B12" s="14" t="inlineStr">
        <is>
          <t>VIOLETA</t>
        </is>
      </c>
      <c r="E12" s="11" t="inlineStr">
        <is>
          <t>Es un consejo automático según lo que escribiste.</t>
        </is>
      </c>
      <c r="F12" s="10" t="n"/>
      <c r="G12" s="10" t="n"/>
      <c r="H12" s="10" t="n"/>
      <c r="I12" s="10" t="n"/>
      <c r="J12" s="10" t="n"/>
      <c r="K12" s="10" t="n"/>
      <c r="L12" s="10" t="n"/>
      <c r="M12" s="10" t="n"/>
      <c r="N12" s="10" t="n"/>
      <c r="O12" s="10" t="n"/>
    </row>
    <row r="13" ht="24" customHeight="1">
      <c r="B13" s="15" t="inlineStr">
        <is>
          <t>VERDE / AMARILLO / ROJO</t>
        </is>
      </c>
      <c r="E13" s="11" t="inlineStr">
        <is>
          <t>Semáforo: verde vas bien, rojo requiere tu atención.</t>
        </is>
      </c>
      <c r="F13" s="10" t="n"/>
      <c r="G13" s="10" t="n"/>
      <c r="H13" s="10" t="n"/>
      <c r="I13" s="10" t="n"/>
      <c r="J13" s="10" t="n"/>
      <c r="K13" s="10" t="n"/>
      <c r="L13" s="10" t="n"/>
      <c r="M13" s="10" t="n"/>
      <c r="N13" s="10" t="n"/>
      <c r="O13" s="10" t="n"/>
    </row>
    <row r="15" ht="24" customHeight="1">
      <c r="B15" s="4" t="inlineStr">
        <is>
          <t>3. EL CAMINO, PASO A PASO</t>
        </is>
      </c>
      <c r="C15" s="5" t="n"/>
      <c r="D15" s="5" t="n"/>
      <c r="E15" s="5" t="n"/>
      <c r="F15" s="5" t="n"/>
      <c r="G15" s="5" t="n"/>
      <c r="H15" s="5" t="n"/>
      <c r="I15" s="5" t="n"/>
      <c r="J15" s="5" t="n"/>
      <c r="K15" s="5" t="n"/>
      <c r="L15" s="5" t="n"/>
      <c r="M15" s="5" t="n"/>
      <c r="N15" s="5" t="n"/>
      <c r="O15" s="5" t="n"/>
    </row>
    <row r="16" ht="26" customHeight="1">
      <c r="B16" s="13" t="n">
        <v>1</v>
      </c>
      <c r="C16" s="6" t="inlineStr">
        <is>
          <t>Conócete</t>
        </is>
      </c>
      <c r="D16" s="7" t="n"/>
      <c r="E16" s="7" t="n"/>
      <c r="F16" s="16" t="inlineStr">
        <is>
          <t>Guia_1 y hoja 01</t>
        </is>
      </c>
      <c r="G16" s="7" t="n"/>
      <c r="H16" s="7" t="n"/>
      <c r="I16" s="8" t="inlineStr">
        <is>
          <t>Descubre qué tipo de relación tienes con el dinero. Toma 10 minutos.</t>
        </is>
      </c>
      <c r="J16" s="7" t="n"/>
      <c r="K16" s="7" t="n"/>
      <c r="L16" s="7" t="n"/>
      <c r="M16" s="7" t="n"/>
      <c r="N16" s="7" t="n"/>
      <c r="O16" s="7" t="n"/>
    </row>
    <row r="17" ht="26" customHeight="1">
      <c r="B17" s="17" t="n">
        <v>2</v>
      </c>
      <c r="C17" s="9" t="inlineStr">
        <is>
          <t>Mide dónde estás</t>
        </is>
      </c>
      <c r="D17" s="10" t="n"/>
      <c r="E17" s="10" t="n"/>
      <c r="F17" s="18" t="inlineStr">
        <is>
          <t>Hoja 03</t>
        </is>
      </c>
      <c r="G17" s="10" t="n"/>
      <c r="H17" s="10" t="n"/>
      <c r="I17" s="11" t="inlineStr">
        <is>
          <t>Anota lo que tienes y lo que debes. Sabrás tu punto de partida real.</t>
        </is>
      </c>
      <c r="J17" s="10" t="n"/>
      <c r="K17" s="10" t="n"/>
      <c r="L17" s="10" t="n"/>
      <c r="M17" s="10" t="n"/>
      <c r="N17" s="10" t="n"/>
      <c r="O17" s="10" t="n"/>
    </row>
    <row r="18" ht="26" customHeight="1">
      <c r="B18" s="13" t="n">
        <v>3</v>
      </c>
      <c r="C18" s="6" t="inlineStr">
        <is>
          <t>Ordena tu mes</t>
        </is>
      </c>
      <c r="D18" s="7" t="n"/>
      <c r="E18" s="7" t="n"/>
      <c r="F18" s="16" t="inlineStr">
        <is>
          <t>Guia_2 y hoja 04</t>
        </is>
      </c>
      <c r="G18" s="7" t="n"/>
      <c r="H18" s="7" t="n"/>
      <c r="I18" s="8" t="inlineStr">
        <is>
          <t>Cuánto entra, cuánto sale y por dónde se te fuga. La hoja más útil de todas.</t>
        </is>
      </c>
      <c r="J18" s="7" t="n"/>
      <c r="K18" s="7" t="n"/>
      <c r="L18" s="7" t="n"/>
      <c r="M18" s="7" t="n"/>
      <c r="N18" s="7" t="n"/>
      <c r="O18" s="7" t="n"/>
    </row>
    <row r="19" ht="26" customHeight="1">
      <c r="B19" s="17" t="n">
        <v>4</v>
      </c>
      <c r="C19" s="9" t="inlineStr">
        <is>
          <t>Sal de deudas</t>
        </is>
      </c>
      <c r="D19" s="10" t="n"/>
      <c r="E19" s="10" t="n"/>
      <c r="F19" s="18" t="inlineStr">
        <is>
          <t>Guia_3 y hoja 05</t>
        </is>
      </c>
      <c r="G19" s="10" t="n"/>
      <c r="H19" s="10" t="n"/>
      <c r="I19" s="11" t="inlineStr">
        <is>
          <t>Si tienes deudas, aquí sabrás en qué orden pagarlas y cuánto ahorras.</t>
        </is>
      </c>
      <c r="J19" s="10" t="n"/>
      <c r="K19" s="10" t="n"/>
      <c r="L19" s="10" t="n"/>
      <c r="M19" s="10" t="n"/>
      <c r="N19" s="10" t="n"/>
      <c r="O19" s="10" t="n"/>
    </row>
    <row r="20" ht="26" customHeight="1">
      <c r="B20" s="13" t="n">
        <v>5</v>
      </c>
      <c r="C20" s="6" t="inlineStr">
        <is>
          <t>Si tienes negocio</t>
        </is>
      </c>
      <c r="D20" s="7" t="n"/>
      <c r="E20" s="7" t="n"/>
      <c r="F20" s="16" t="inlineStr">
        <is>
          <t>Hojas 06, 07 y 08</t>
        </is>
      </c>
      <c r="G20" s="7" t="n"/>
      <c r="H20" s="7" t="n"/>
      <c r="I20" s="8" t="inlineStr">
        <is>
          <t>Cuánto necesitas para arrancar, cuánto vender y si estás ganando.</t>
        </is>
      </c>
      <c r="J20" s="7" t="n"/>
      <c r="K20" s="7" t="n"/>
      <c r="L20" s="7" t="n"/>
      <c r="M20" s="7" t="n"/>
      <c r="N20" s="7" t="n"/>
      <c r="O20" s="7" t="n"/>
    </row>
    <row r="21" ht="26" customHeight="1">
      <c r="B21" s="17" t="n">
        <v>6</v>
      </c>
      <c r="C21" s="9" t="inlineStr">
        <is>
          <t>Proyecta tu libertad</t>
        </is>
      </c>
      <c r="D21" s="10" t="n"/>
      <c r="E21" s="10" t="n"/>
      <c r="F21" s="18" t="inlineStr">
        <is>
          <t>Hoja 09</t>
        </is>
      </c>
      <c r="G21" s="10" t="n"/>
      <c r="H21" s="10" t="n"/>
      <c r="I21" s="11" t="inlineStr">
        <is>
          <t>Cuánto capital necesitas para vivir sin depender de un sueldo.</t>
        </is>
      </c>
      <c r="J21" s="10" t="n"/>
      <c r="K21" s="10" t="n"/>
      <c r="L21" s="10" t="n"/>
      <c r="M21" s="10" t="n"/>
      <c r="N21" s="10" t="n"/>
      <c r="O21" s="10" t="n"/>
    </row>
    <row r="22" ht="26" customHeight="1">
      <c r="B22" s="13" t="n">
        <v>7</v>
      </c>
      <c r="C22" s="6" t="inlineStr">
        <is>
          <t>Revisa el tablero</t>
        </is>
      </c>
      <c r="D22" s="7" t="n"/>
      <c r="E22" s="7" t="n"/>
      <c r="F22" s="16" t="inlineStr">
        <is>
          <t>Hoja 10</t>
        </is>
      </c>
      <c r="G22" s="7" t="n"/>
      <c r="H22" s="7" t="n"/>
      <c r="I22" s="8" t="inlineStr">
        <is>
          <t>Se llena solo. Míralo una vez al mes para ver cómo vas.</t>
        </is>
      </c>
      <c r="J22" s="7" t="n"/>
      <c r="K22" s="7" t="n"/>
      <c r="L22" s="7" t="n"/>
      <c r="M22" s="7" t="n"/>
      <c r="N22" s="7" t="n"/>
      <c r="O22" s="7" t="n"/>
    </row>
    <row r="24" ht="30" customHeight="1">
      <c r="B24" s="19" t="inlineStr">
        <is>
          <t>¿Solo tienes 20 minutos? Haz la hoja 04 (tu mes) y la hoja 05 (tus deudas). Son las dos que más cambian tu situación en el corto plazo.</t>
        </is>
      </c>
    </row>
  </sheetData>
  <mergeCells count="41">
    <mergeCell ref="C16:E16"/>
    <mergeCell ref="B11:D11"/>
    <mergeCell ref="F20:H20"/>
    <mergeCell ref="E12:O12"/>
    <mergeCell ref="F21:H21"/>
    <mergeCell ref="F18:H18"/>
    <mergeCell ref="I17:O17"/>
    <mergeCell ref="C22:E22"/>
    <mergeCell ref="B13:D13"/>
    <mergeCell ref="E7:H7"/>
    <mergeCell ref="F17:H17"/>
    <mergeCell ref="I20:O20"/>
    <mergeCell ref="C21:E21"/>
    <mergeCell ref="I19:O19"/>
    <mergeCell ref="B10:D10"/>
    <mergeCell ref="F22:H22"/>
    <mergeCell ref="B2:O2"/>
    <mergeCell ref="C17:E17"/>
    <mergeCell ref="I6:O6"/>
    <mergeCell ref="E10:O10"/>
    <mergeCell ref="E13:O13"/>
    <mergeCell ref="B6:D6"/>
    <mergeCell ref="B1:O1"/>
    <mergeCell ref="C19:E19"/>
    <mergeCell ref="C18:E18"/>
    <mergeCell ref="I7:O7"/>
    <mergeCell ref="E11:O11"/>
    <mergeCell ref="I16:O16"/>
    <mergeCell ref="B7:D7"/>
    <mergeCell ref="B9:O9"/>
    <mergeCell ref="F16:H16"/>
    <mergeCell ref="I22:O22"/>
    <mergeCell ref="F19:H19"/>
    <mergeCell ref="I18:O18"/>
    <mergeCell ref="B24:O24"/>
    <mergeCell ref="E6:H6"/>
    <mergeCell ref="B15:O15"/>
    <mergeCell ref="I21:O21"/>
    <mergeCell ref="B5:O5"/>
    <mergeCell ref="B12:D12"/>
    <mergeCell ref="C20:E20"/>
  </mergeCells>
  <pageMargins left="0.35" right="0.35" top="0.5" bottom="0.5" header="0.2" footer="0.2"/>
  <pageSetup orientation="landscape" paperSize="1" fitToHeight="0" fitToWidth="1"/>
  <headerFooter>
    <oddHeader/>
    <oddFooter>&amp;LKIT Financiero XPROF 3.0 - Guía visual&amp;RPágina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I43"/>
  <sheetViews>
    <sheetView showGridLines="0" view="pageLayout" workbookViewId="0">
      <selection activeCell="A1" sqref="A1"/>
    </sheetView>
  </sheetViews>
  <sheetFormatPr baseColWidth="8" defaultRowHeight="15"/>
  <cols>
    <col width="3" customWidth="1" min="1" max="1"/>
    <col width="8" customWidth="1" min="2" max="2"/>
    <col width="28" customWidth="1" min="3" max="3"/>
    <col width="26" customWidth="1" min="4" max="4"/>
    <col width="24" customWidth="1" min="5" max="5"/>
    <col width="22" customWidth="1" min="6" max="6"/>
    <col width="24" customWidth="1" min="7" max="7"/>
    <col width="22" customWidth="1" min="8" max="8"/>
    <col width="24" customWidth="1" min="9" max="9"/>
  </cols>
  <sheetData>
    <row r="1" ht="24" customHeight="1">
      <c r="B1" s="20" t="inlineStr">
        <is>
          <t>METODOLOGÍA M.A.E.S.T.R.O. FINANCIERO XPROF</t>
        </is>
      </c>
    </row>
    <row r="2" ht="22" customHeight="1">
      <c r="B2" s="21" t="inlineStr">
        <is>
          <t>GUÍA INTEGRAL DE NAVEGACIÓN, TAXONOMÍA Y FUNDAMENTO METODOLÓGICO | Código: DOC-KF-00</t>
        </is>
      </c>
    </row>
    <row r="3" ht="30" customHeight="1">
      <c r="B3" s="22" t="inlineStr">
        <is>
          <t>Propósito: Proveer el marco conceptual, científico y operativo para la gestión integral de finanzas personales, presupuesto de base cero, desendeudamiento y libertad financiera.</t>
        </is>
      </c>
    </row>
    <row r="4" ht="18" customHeight="1">
      <c r="B4" s="23" t="inlineStr">
        <is>
          <t>Entidad Asesora: XPROF | Versión: 3.0 | Autor: Helman Carrillo | Válido para: Personas, Emprendedores y Familias</t>
        </is>
      </c>
    </row>
    <row r="5" ht="20" customHeight="1">
      <c r="B5" s="24" t="inlineStr">
        <is>
          <t>EN UNA FRASE:   Esta hoja explica cómo está armado el kit. Léela una vez y vuelve cuando tengas dudas.</t>
        </is>
      </c>
      <c r="C5" s="25" t="n"/>
      <c r="D5" s="25" t="n"/>
      <c r="E5" s="25" t="n"/>
      <c r="F5" s="25" t="n"/>
      <c r="G5" s="25" t="n"/>
      <c r="H5" s="25" t="n"/>
      <c r="I5" s="25" t="n"/>
    </row>
    <row r="6" ht="24" customHeight="1">
      <c r="B6" s="4" t="inlineStr">
        <is>
          <t>1. MARCO TEÓRICO Y RESPALDO CIENTÍFICO INTERNACIONAL</t>
        </is>
      </c>
      <c r="C6" s="5" t="n"/>
      <c r="D6" s="5" t="n"/>
      <c r="E6" s="5" t="n"/>
      <c r="F6" s="5" t="n"/>
      <c r="G6" s="5" t="n"/>
      <c r="H6" s="5" t="n"/>
      <c r="I6" s="5" t="n"/>
    </row>
    <row r="7" ht="22" customHeight="1">
      <c r="B7" s="26" t="inlineStr">
        <is>
          <t>N°</t>
        </is>
      </c>
      <c r="C7" s="26" t="inlineStr">
        <is>
          <t>Autor / Escuela de Pensamiento</t>
        </is>
      </c>
      <c r="D7" s="26" t="inlineStr">
        <is>
          <t>Institución / Referencia</t>
        </is>
      </c>
      <c r="E7" s="26" t="inlineStr">
        <is>
          <t>Principio Financiero Central</t>
        </is>
      </c>
      <c r="F7" s="26" t="n"/>
      <c r="G7" s="26" t="inlineStr">
        <is>
          <t>Aplicación Práctica en este KIT</t>
        </is>
      </c>
      <c r="H7" s="26" t="n"/>
      <c r="I7" s="26" t="n"/>
    </row>
    <row r="8" ht="24" customHeight="1">
      <c r="B8" s="13" t="n">
        <v>1</v>
      </c>
      <c r="C8" s="6" t="inlineStr">
        <is>
          <t>Daniel Kahneman &amp; Amos Tversky</t>
        </is>
      </c>
      <c r="D8" s="8" t="inlineStr">
        <is>
          <t>Premio Nobel de Economía / Prospect Theory</t>
        </is>
      </c>
      <c r="E8" s="8" t="inlineStr">
        <is>
          <t>Economía Conductual: Aversión a la pérdida y sesgos cognitivos en decisiones monetarias.</t>
        </is>
      </c>
      <c r="F8" s="27" t="n"/>
      <c r="G8" s="8" t="inlineStr">
        <is>
          <t>Diseño de la evaluación psicológica del dinero y control de gastos impulsivos.</t>
        </is>
      </c>
      <c r="H8" s="27" t="n"/>
      <c r="I8" s="27" t="n"/>
    </row>
    <row r="9" ht="24" customHeight="1">
      <c r="B9" s="17" t="n">
        <v>2</v>
      </c>
      <c r="C9" s="9" t="inlineStr">
        <is>
          <t>Dr. Brad Klontz &amp; Ted Klontz</t>
        </is>
      </c>
      <c r="D9" s="11" t="inlineStr">
        <is>
          <t>Financial Psychology Institute / Money Scripts</t>
        </is>
      </c>
      <c r="E9" s="11" t="inlineStr">
        <is>
          <t>Guiones del dinero: Creencias inconscientes que determinan la conducta financiera.</t>
        </is>
      </c>
      <c r="F9" s="28" t="n"/>
      <c r="G9" s="11" t="inlineStr">
        <is>
          <t>Test de Arquetipos Financieros (Evasor, Adorador, Competitivo, Vigilante).</t>
        </is>
      </c>
      <c r="H9" s="28" t="n"/>
      <c r="I9" s="28" t="n"/>
    </row>
    <row r="10" ht="24" customHeight="1">
      <c r="B10" s="13" t="n">
        <v>3</v>
      </c>
      <c r="C10" s="6" t="inlineStr">
        <is>
          <t>Harry Markowitz &amp; Burton Malkiel</t>
        </is>
      </c>
      <c r="D10" s="8" t="inlineStr">
        <is>
          <t>Premio Nobel / A Random Walk Down Wall Street</t>
        </is>
      </c>
      <c r="E10" s="8" t="inlineStr">
        <is>
          <t>Teoría Moderna de Portafolios: Diversificación eficiente y asignación óptima de activos.</t>
        </is>
      </c>
      <c r="F10" s="27" t="n"/>
      <c r="G10" s="8" t="inlineStr">
        <is>
          <t>Matriz de Asignación Estratégica de Activos (Asset Allocation) y perfil de inversor.</t>
        </is>
      </c>
      <c r="H10" s="27" t="n"/>
      <c r="I10" s="27" t="n"/>
    </row>
    <row r="11" ht="24" customHeight="1">
      <c r="B11" s="17" t="n">
        <v>4</v>
      </c>
      <c r="C11" s="9" t="inlineStr">
        <is>
          <t>Elizabeth Warren &amp; Amelia Warren Tyagi</t>
        </is>
      </c>
      <c r="D11" s="11" t="inlineStr">
        <is>
          <t>Harvard Law / All Your Worth</t>
        </is>
      </c>
      <c r="E11" s="11" t="inlineStr">
        <is>
          <t>Presupuesto 50/30/20: Equilibrio entre necesidades, deseos y ahorro/inversión.</t>
        </is>
      </c>
      <c r="F11" s="28" t="n"/>
      <c r="G11" s="11" t="inlineStr">
        <is>
          <t>Estructuración del Presupuesto Inteligente y detección de fugas invisibles.</t>
        </is>
      </c>
      <c r="H11" s="28" t="n"/>
      <c r="I11" s="28" t="n"/>
    </row>
    <row r="12" ht="24" customHeight="1">
      <c r="B12" s="13" t="n">
        <v>5</v>
      </c>
      <c r="C12" s="6" t="inlineStr">
        <is>
          <t>Dave Ramsey &amp; Robert Kiyosaki</t>
        </is>
      </c>
      <c r="D12" s="8" t="inlineStr">
        <is>
          <t>The Total Money Makeover / Rich Dad Poor Dad</t>
        </is>
      </c>
      <c r="E12" s="8" t="inlineStr">
        <is>
          <t>Desendeudamiento acelerado (Bola de nieve) y cuadrante de flujo de efectivo.</t>
        </is>
      </c>
      <c r="F12" s="27" t="n"/>
      <c r="G12" s="8" t="inlineStr">
        <is>
          <t>Calculadora comparativa de saneamiento de deuda y análisis de activos productivos.</t>
        </is>
      </c>
      <c r="H12" s="27" t="n"/>
      <c r="I12" s="27" t="n"/>
    </row>
    <row r="13" ht="24" customHeight="1">
      <c r="B13" s="17" t="n">
        <v>6</v>
      </c>
      <c r="C13" s="9" t="inlineStr">
        <is>
          <t>Trinity Study &amp; William Bengen</t>
        </is>
      </c>
      <c r="D13" s="11" t="inlineStr">
        <is>
          <t>Trinity University / Journal of Financial Planning</t>
        </is>
      </c>
      <c r="E13" s="11" t="inlineStr">
        <is>
          <t>Regla del 4% y Tasa de Retiro Seguro (SWR) para la Independencia Financiera.</t>
        </is>
      </c>
      <c r="F13" s="28" t="n"/>
      <c r="G13" s="11" t="inlineStr">
        <is>
          <t>Simulador de Libertad Financiera (FIRE), Número Objetivo y proyección de retiro.</t>
        </is>
      </c>
      <c r="H13" s="28" t="n"/>
      <c r="I13" s="28" t="n"/>
    </row>
    <row r="15" ht="24" customHeight="1">
      <c r="B15" s="4" t="inlineStr">
        <is>
          <t>2. CÓDIGO DE COLORES INSTITUCIONAL Y USABILIDAD XPROF</t>
        </is>
      </c>
      <c r="C15" s="5" t="n"/>
      <c r="D15" s="5" t="n"/>
      <c r="E15" s="5" t="n"/>
      <c r="F15" s="5" t="n"/>
      <c r="G15" s="5" t="n"/>
      <c r="H15" s="5" t="n"/>
      <c r="I15" s="5" t="n"/>
    </row>
    <row r="16" ht="20" customHeight="1">
      <c r="B16" s="26" t="inlineStr">
        <is>
          <t>Elemento Visual</t>
        </is>
      </c>
      <c r="C16" s="26" t="n"/>
      <c r="D16" s="26" t="inlineStr">
        <is>
          <t>Identificación Cromática</t>
        </is>
      </c>
      <c r="E16" s="26" t="n"/>
      <c r="F16" s="26" t="inlineStr">
        <is>
          <t>Regla de Interacción y Propósito</t>
        </is>
      </c>
      <c r="G16" s="26" t="n"/>
      <c r="H16" s="26" t="n"/>
      <c r="I16" s="26" t="n"/>
    </row>
    <row r="17" ht="22" customHeight="1">
      <c r="B17" s="9" t="inlineStr">
        <is>
          <t>Celdas de Entrada (Inputs)</t>
        </is>
      </c>
      <c r="C17" s="28" t="n"/>
      <c r="D17" s="29" t="inlineStr">
        <is>
          <t>Fondo amarillo muy tenue (#FEFCE8)</t>
        </is>
      </c>
      <c r="E17" s="28" t="n"/>
      <c r="F17" s="11" t="inlineStr">
        <is>
          <t>Celdas habilitadas para que el usuario ingrese sus datos personalizados o seleccione de listas desplegables.</t>
        </is>
      </c>
      <c r="G17" s="28" t="n"/>
      <c r="H17" s="28" t="n"/>
      <c r="I17" s="28" t="n"/>
    </row>
    <row r="18" ht="22" customHeight="1">
      <c r="B18" s="6" t="inlineStr">
        <is>
          <t>Celdas Calculadas (Fórmulas)</t>
        </is>
      </c>
      <c r="C18" s="27" t="n"/>
      <c r="D18" s="30" t="inlineStr">
        <is>
          <t>Fondo blanco / gris suave (#F8FAFC)</t>
        </is>
      </c>
      <c r="E18" s="27" t="n"/>
      <c r="F18" s="8" t="inlineStr">
        <is>
          <t>Celdas con fórmulas automáticas interconectadas. No deben sobrescribirse manualmente.</t>
        </is>
      </c>
      <c r="G18" s="27" t="n"/>
      <c r="H18" s="27" t="n"/>
      <c r="I18" s="27" t="n"/>
    </row>
    <row r="19" ht="22" customHeight="1">
      <c r="B19" s="9" t="inlineStr">
        <is>
          <t>Diagnósticos y Consejos</t>
        </is>
      </c>
      <c r="C19" s="28" t="n"/>
      <c r="D19" s="29" t="inlineStr">
        <is>
          <t>Fondo violeta suave (#EDE9FE) con borde púrpura</t>
        </is>
      </c>
      <c r="E19" s="28" t="n"/>
      <c r="F19" s="11" t="inlineStr">
        <is>
          <t>Cajas de pre-análisis y orientación consultiva estratégica generada en tiempo real.</t>
        </is>
      </c>
      <c r="G19" s="28" t="n"/>
      <c r="H19" s="28" t="n"/>
      <c r="I19" s="28" t="n"/>
    </row>
    <row r="20" ht="22" customHeight="1">
      <c r="B20" s="6" t="inlineStr">
        <is>
          <t>Semáforos de Estado Pastel</t>
        </is>
      </c>
      <c r="C20" s="27" t="n"/>
      <c r="D20" s="30" t="inlineStr">
        <is>
          <t>Verde (#DCFCE7) | Amarillo (#FEF9C3) | Rojo (#FEE2E2)</t>
        </is>
      </c>
      <c r="E20" s="27" t="n"/>
      <c r="F20" s="8" t="inlineStr">
        <is>
          <t>Indicadores visuales inteligentes para alertar sobre niveles de riesgo, solvencia y cumplimiento.</t>
        </is>
      </c>
      <c r="G20" s="27" t="n"/>
      <c r="H20" s="27" t="n"/>
      <c r="I20" s="27" t="n"/>
    </row>
    <row r="22" ht="24" customHeight="1">
      <c r="B22" s="4" t="inlineStr">
        <is>
          <t>3. MAPA METODOLÓGICO: CICLO M.A.E.S.T.R.O. FINANCIERO XPROF</t>
        </is>
      </c>
      <c r="C22" s="5" t="n"/>
      <c r="D22" s="5" t="n"/>
      <c r="E22" s="5" t="n"/>
      <c r="F22" s="5" t="n"/>
      <c r="G22" s="5" t="n"/>
      <c r="H22" s="5" t="n"/>
      <c r="I22" s="5" t="n"/>
    </row>
    <row r="23" ht="20" customHeight="1">
      <c r="B23" s="26" t="inlineStr">
        <is>
          <t>Fase</t>
        </is>
      </c>
      <c r="C23" s="26" t="inlineStr">
        <is>
          <t>Pilar Metodológico</t>
        </is>
      </c>
      <c r="D23" s="26" t="n"/>
      <c r="E23" s="26" t="inlineStr">
        <is>
          <t>Instrumentos Asociados</t>
        </is>
      </c>
      <c r="F23" s="26" t="n"/>
      <c r="G23" s="26" t="inlineStr">
        <is>
          <t>Objetivo Consultivo</t>
        </is>
      </c>
      <c r="H23" s="26" t="n"/>
      <c r="I23" s="26" t="n"/>
    </row>
    <row r="24" ht="22" customHeight="1">
      <c r="B24" s="13" t="inlineStr">
        <is>
          <t>M</t>
        </is>
      </c>
      <c r="C24" s="6" t="inlineStr">
        <is>
          <t>Mente &amp; Diagnóstico</t>
        </is>
      </c>
      <c r="D24" s="27" t="n"/>
      <c r="E24" s="8" t="inlineStr">
        <is>
          <t>01_Mente_y_Arquetipos</t>
        </is>
      </c>
      <c r="F24" s="27" t="n"/>
      <c r="G24" s="8" t="inlineStr">
        <is>
          <t>Evalúa patrones psicológicos, sesgos conductuales y perfil de inversor.</t>
        </is>
      </c>
      <c r="H24" s="27" t="n"/>
      <c r="I24" s="27" t="n"/>
    </row>
    <row r="25" ht="22" customHeight="1">
      <c r="B25" s="17" t="inlineStr">
        <is>
          <t>A</t>
        </is>
      </c>
      <c r="C25" s="9" t="inlineStr">
        <is>
          <t>Activos &amp; Balance</t>
        </is>
      </c>
      <c r="D25" s="28" t="n"/>
      <c r="E25" s="11" t="inlineStr">
        <is>
          <t>03_Balance_Patrimonial</t>
        </is>
      </c>
      <c r="F25" s="28" t="n"/>
      <c r="G25" s="11" t="inlineStr">
        <is>
          <t>Estructura el balance general personal/familiar, solvencia y fondo de emergencia.</t>
        </is>
      </c>
      <c r="H25" s="28" t="n"/>
      <c r="I25" s="28" t="n"/>
    </row>
    <row r="26" ht="22" customHeight="1">
      <c r="B26" s="13" t="inlineStr">
        <is>
          <t>E</t>
        </is>
      </c>
      <c r="C26" s="6" t="inlineStr">
        <is>
          <t>Estructura de Gastos</t>
        </is>
      </c>
      <c r="D26" s="27" t="n"/>
      <c r="E26" s="8" t="inlineStr">
        <is>
          <t>04_Presupuesto_Inteligente</t>
        </is>
      </c>
      <c r="F26" s="27" t="n"/>
      <c r="G26" s="8" t="inlineStr">
        <is>
          <t>Presupuesto 50/30/20, control proyectado vs real y detector de fugas invisibles.</t>
        </is>
      </c>
      <c r="H26" s="27" t="n"/>
      <c r="I26" s="27" t="n"/>
    </row>
    <row r="27" ht="22" customHeight="1">
      <c r="B27" s="17" t="inlineStr">
        <is>
          <t>S</t>
        </is>
      </c>
      <c r="C27" s="9" t="inlineStr">
        <is>
          <t>Saneamiento de Deudas</t>
        </is>
      </c>
      <c r="D27" s="28" t="n"/>
      <c r="E27" s="11" t="inlineStr">
        <is>
          <t>05_Saneamiento_Deudas</t>
        </is>
      </c>
      <c r="F27" s="28" t="n"/>
      <c r="G27" s="11" t="inlineStr">
        <is>
          <t>Plan de choque de desendeudamiento (Bola de nieve vs Avalancha) y ratio DTI.</t>
        </is>
      </c>
      <c r="H27" s="28" t="n"/>
      <c r="I27" s="28" t="n"/>
    </row>
    <row r="28" ht="22" customHeight="1">
      <c r="B28" s="13" t="inlineStr">
        <is>
          <t>T</t>
        </is>
      </c>
      <c r="C28" s="6" t="inlineStr">
        <is>
          <t>Transición Emprendedora</t>
        </is>
      </c>
      <c r="D28" s="27" t="n"/>
      <c r="E28" s="8" t="inlineStr">
        <is>
          <t>06_Startup_y_Precios</t>
        </is>
      </c>
      <c r="F28" s="27" t="n"/>
      <c r="G28" s="8" t="inlineStr">
        <is>
          <t>Presupuesto de puesta en marcha, costeo unitario y punto de equilibrio.</t>
        </is>
      </c>
      <c r="H28" s="27" t="n"/>
      <c r="I28" s="27" t="n"/>
    </row>
    <row r="29" ht="22" customHeight="1">
      <c r="B29" s="17" t="inlineStr">
        <is>
          <t>R</t>
        </is>
      </c>
      <c r="C29" s="9" t="inlineStr">
        <is>
          <t>Registro &amp; Flujo de Caja</t>
        </is>
      </c>
      <c r="D29" s="28" t="n"/>
      <c r="E29" s="11" t="inlineStr">
        <is>
          <t>07_Flujo_Caja_12M / 08_P&amp;G</t>
        </is>
      </c>
      <c r="F29" s="28" t="n"/>
      <c r="G29" s="11" t="inlineStr">
        <is>
          <t>Control de liquidez proyectada a 12 meses y estado de pérdidas y ganancias.</t>
        </is>
      </c>
      <c r="H29" s="28" t="n"/>
      <c r="I29" s="28" t="n"/>
    </row>
    <row r="30" ht="22" customHeight="1">
      <c r="B30" s="13" t="inlineStr">
        <is>
          <t>O</t>
        </is>
      </c>
      <c r="C30" s="6" t="inlineStr">
        <is>
          <t>Optimización &amp; Libertad</t>
        </is>
      </c>
      <c r="D30" s="27" t="n"/>
      <c r="E30" s="8" t="inlineStr">
        <is>
          <t>09_Libertad_Financiera / 10_Dashboard</t>
        </is>
      </c>
      <c r="F30" s="27" t="n"/>
      <c r="G30" s="8" t="inlineStr">
        <is>
          <t>Plan FIRE, asset allocation y panel de control ejecutivo con gráficas interconectadas.</t>
        </is>
      </c>
      <c r="H30" s="27" t="n"/>
      <c r="I30" s="27" t="n"/>
    </row>
    <row r="32" ht="24" customHeight="1">
      <c r="B32" s="4" t="inlineStr">
        <is>
          <t>4. MATRIZ DE INTERCONEXIÓN DE DATOS ENTRE INSTRUMENTOS</t>
        </is>
      </c>
      <c r="C32" s="5" t="n"/>
      <c r="D32" s="5" t="n"/>
      <c r="E32" s="5" t="n"/>
      <c r="F32" s="5" t="n"/>
      <c r="G32" s="5" t="n"/>
      <c r="H32" s="5" t="n"/>
      <c r="I32" s="5" t="n"/>
    </row>
    <row r="33" ht="20" customHeight="1">
      <c r="B33" s="26" t="inlineStr">
        <is>
          <t>Hoja de Origen</t>
        </is>
      </c>
      <c r="C33" s="26" t="n"/>
      <c r="D33" s="26" t="inlineStr">
        <is>
          <t>Dato que Exporta</t>
        </is>
      </c>
      <c r="E33" s="26" t="n"/>
      <c r="F33" s="26" t="inlineStr">
        <is>
          <t>Hoja(s) de Destino</t>
        </is>
      </c>
      <c r="G33" s="26" t="n"/>
      <c r="H33" s="26" t="inlineStr">
        <is>
          <t>Uso Consultivo en el Destino</t>
        </is>
      </c>
      <c r="I33" s="26" t="n"/>
    </row>
    <row r="34" ht="24" customHeight="1">
      <c r="B34" s="6" t="inlineStr">
        <is>
          <t>03_Balance_Patrimonial</t>
        </is>
      </c>
      <c r="C34" s="27" t="n"/>
      <c r="D34" s="8" t="inlineStr">
        <is>
          <t>Fondo de Emergencia Líquido y Patrimonio Neto Total</t>
        </is>
      </c>
      <c r="E34" s="27" t="n"/>
      <c r="F34" s="8" t="inlineStr">
        <is>
          <t>09_Libertad_Financiera, 10_Dashboard</t>
        </is>
      </c>
      <c r="G34" s="27" t="n"/>
      <c r="H34" s="8" t="inlineStr">
        <is>
          <t>Base de patrimonio invertido para el Número FIRE y tarjeta KPI de Patrimonio Neto.</t>
        </is>
      </c>
      <c r="I34" s="27" t="n"/>
    </row>
    <row r="35" ht="24" customHeight="1">
      <c r="B35" s="9" t="inlineStr">
        <is>
          <t>04_Presupuesto_Inteligente</t>
        </is>
      </c>
      <c r="C35" s="28" t="n"/>
      <c r="D35" s="11" t="inlineStr">
        <is>
          <t>Subtotal de Necesidades Reales (Gasto Esencial)</t>
        </is>
      </c>
      <c r="E35" s="28" t="n"/>
      <c r="F35" s="11" t="inlineStr">
        <is>
          <t>03_Balance_Patrimonial, 10_Dashboard</t>
        </is>
      </c>
      <c r="G35" s="28" t="n"/>
      <c r="H35" s="11" t="inlineStr">
        <is>
          <t>Cálculo de Meses de Cobertura del Fondo de Emergencia.</t>
        </is>
      </c>
      <c r="I35" s="28" t="n"/>
    </row>
    <row r="36" ht="24" customHeight="1">
      <c r="B36" s="6" t="inlineStr">
        <is>
          <t>04_Presupuesto_Inteligente</t>
        </is>
      </c>
      <c r="C36" s="27" t="n"/>
      <c r="D36" s="8" t="inlineStr">
        <is>
          <t>Ingreso Neto Real Mensual</t>
        </is>
      </c>
      <c r="E36" s="27" t="n"/>
      <c r="F36" s="8" t="inlineStr">
        <is>
          <t>05_Saneamiento_Deudas</t>
        </is>
      </c>
      <c r="G36" s="27" t="n"/>
      <c r="H36" s="8" t="inlineStr">
        <is>
          <t>Denominador del Ratio de Carga Financiera (DTI).</t>
        </is>
      </c>
      <c r="I36" s="27" t="n"/>
    </row>
    <row r="37" ht="24" customHeight="1">
      <c r="B37" s="9" t="inlineStr">
        <is>
          <t>04_Presupuesto_Inteligente</t>
        </is>
      </c>
      <c r="C37" s="28" t="n"/>
      <c r="D37" s="11" t="inlineStr">
        <is>
          <t>Aporte Real a Inversión de Largo Plazo</t>
        </is>
      </c>
      <c r="E37" s="28" t="n"/>
      <c r="F37" s="11" t="inlineStr">
        <is>
          <t>09_Libertad_Financiera</t>
        </is>
      </c>
      <c r="G37" s="28" t="n"/>
      <c r="H37" s="11" t="inlineStr">
        <is>
          <t>Aporte mensual usado en el simulador de años hacia la libertad financiera.</t>
        </is>
      </c>
      <c r="I37" s="28" t="n"/>
    </row>
    <row r="38" ht="24" customHeight="1">
      <c r="B38" s="6" t="inlineStr">
        <is>
          <t>04_Presupuesto_Inteligente</t>
        </is>
      </c>
      <c r="C38" s="27" t="n"/>
      <c r="D38" s="8" t="inlineStr">
        <is>
          <t>Subtotales del Modelo 50/30/20 (Necesidades, Deseos, Ahorro)</t>
        </is>
      </c>
      <c r="E38" s="27" t="n"/>
      <c r="F38" s="8" t="inlineStr">
        <is>
          <t>10_Dashboard</t>
        </is>
      </c>
      <c r="G38" s="27" t="n"/>
      <c r="H38" s="8" t="inlineStr">
        <is>
          <t>Gráfico de Distribución Presupuestaria (Doughnut) y Tasa de Ahorro KPI.</t>
        </is>
      </c>
      <c r="I38" s="27" t="n"/>
    </row>
    <row r="39" ht="24" customHeight="1">
      <c r="B39" s="9" t="inlineStr">
        <is>
          <t>05_Saneamiento_Deudas</t>
        </is>
      </c>
      <c r="C39" s="28" t="n"/>
      <c r="D39" s="11" t="inlineStr">
        <is>
          <t>Ratio DTI y Semáforo de Riesgo Crediticio</t>
        </is>
      </c>
      <c r="E39" s="28" t="n"/>
      <c r="F39" s="11" t="inlineStr">
        <is>
          <t>10_Dashboard</t>
        </is>
      </c>
      <c r="G39" s="28" t="n"/>
      <c r="H39" s="11" t="inlineStr">
        <is>
          <t>Tarjeta KPI de Nivel de Endeudamiento.</t>
        </is>
      </c>
      <c r="I39" s="28" t="n"/>
    </row>
    <row r="40" ht="24" customHeight="1">
      <c r="B40" s="6" t="inlineStr">
        <is>
          <t>06_Startup_y_Precios</t>
        </is>
      </c>
      <c r="C40" s="27" t="n"/>
      <c r="D40" s="8" t="inlineStr">
        <is>
          <t>Punto de Equilibrio Mensual en Facturación ($)</t>
        </is>
      </c>
      <c r="E40" s="27" t="n"/>
      <c r="F40" s="8" t="inlineStr">
        <is>
          <t>10_Dashboard</t>
        </is>
      </c>
      <c r="G40" s="27" t="n"/>
      <c r="H40" s="8" t="inlineStr">
        <is>
          <t>Tarjeta KPI de Punto de Equilibrio Operativo.</t>
        </is>
      </c>
      <c r="I40" s="27" t="n"/>
    </row>
    <row r="41" ht="24" customHeight="1">
      <c r="B41" s="9" t="inlineStr">
        <is>
          <t>07_Flujo_Caja_12M</t>
        </is>
      </c>
      <c r="C41" s="28" t="n"/>
      <c r="D41" s="11" t="inlineStr">
        <is>
          <t>Entradas, Salidas y Flujo Neto Anual Consolidado</t>
        </is>
      </c>
      <c r="E41" s="28" t="n"/>
      <c r="F41" s="11" t="inlineStr">
        <is>
          <t>10_Dashboard</t>
        </is>
      </c>
      <c r="G41" s="28" t="n"/>
      <c r="H41" s="11" t="inlineStr">
        <is>
          <t>Gráfico de Flujo de Caja Anual (Barras).</t>
        </is>
      </c>
      <c r="I41" s="28" t="n"/>
    </row>
    <row r="42" ht="24" customHeight="1">
      <c r="B42" s="6" t="inlineStr">
        <is>
          <t>09_Libertad_Financiera</t>
        </is>
      </c>
      <c r="C42" s="27" t="n"/>
      <c r="D42" s="8" t="inlineStr">
        <is>
          <t>Porcentaje de Progreso hacia el Número FIRE</t>
        </is>
      </c>
      <c r="E42" s="27" t="n"/>
      <c r="F42" s="8" t="inlineStr">
        <is>
          <t>10_Dashboard</t>
        </is>
      </c>
      <c r="G42" s="27" t="n"/>
      <c r="H42" s="8" t="inlineStr">
        <is>
          <t>Tarjeta KPI de Progreso hacia la Libertad Financiera.</t>
        </is>
      </c>
      <c r="I42" s="27" t="n"/>
    </row>
    <row r="43" ht="24" customHeight="1">
      <c r="B43" s="9" t="inlineStr">
        <is>
          <t>03_Balance_Patrimonial</t>
        </is>
      </c>
      <c r="C43" s="28" t="n"/>
      <c r="D43" s="11" t="inlineStr">
        <is>
          <t>Activos Totales, Pasivos Totales y Patrimonio Neto</t>
        </is>
      </c>
      <c r="E43" s="28" t="n"/>
      <c r="F43" s="11" t="inlineStr">
        <is>
          <t>10_Dashboard</t>
        </is>
      </c>
      <c r="G43" s="28" t="n"/>
      <c r="H43" s="11" t="inlineStr">
        <is>
          <t>Gráfico de Estructura Patrimonial (Barras).</t>
        </is>
      </c>
      <c r="I43" s="28" t="n"/>
    </row>
  </sheetData>
  <mergeCells count="106">
    <mergeCell ref="D20:E20"/>
    <mergeCell ref="H35:I35"/>
    <mergeCell ref="G13:I13"/>
    <mergeCell ref="E23:F23"/>
    <mergeCell ref="D36:E36"/>
    <mergeCell ref="E8:F8"/>
    <mergeCell ref="G24:I24"/>
    <mergeCell ref="H39:I39"/>
    <mergeCell ref="F16:I16"/>
    <mergeCell ref="G26:I26"/>
    <mergeCell ref="B38:C38"/>
    <mergeCell ref="C27:D27"/>
    <mergeCell ref="E27:F27"/>
    <mergeCell ref="G9:I9"/>
    <mergeCell ref="H37:I37"/>
    <mergeCell ref="B40:C40"/>
    <mergeCell ref="F43:G43"/>
    <mergeCell ref="B33:C33"/>
    <mergeCell ref="D33:E33"/>
    <mergeCell ref="C28:D28"/>
    <mergeCell ref="B5:I5"/>
    <mergeCell ref="B41:C41"/>
    <mergeCell ref="B35:C35"/>
    <mergeCell ref="D35:E35"/>
    <mergeCell ref="E12:F12"/>
    <mergeCell ref="B16:C16"/>
    <mergeCell ref="G28:I28"/>
    <mergeCell ref="C30:D30"/>
    <mergeCell ref="D19:E19"/>
    <mergeCell ref="D34:E34"/>
    <mergeCell ref="F34:G34"/>
    <mergeCell ref="H41:I41"/>
    <mergeCell ref="B22:I22"/>
    <mergeCell ref="B18:C18"/>
    <mergeCell ref="G30:I30"/>
    <mergeCell ref="H34:I34"/>
    <mergeCell ref="F33:G33"/>
    <mergeCell ref="F42:G42"/>
    <mergeCell ref="H36:I36"/>
    <mergeCell ref="F19:I19"/>
    <mergeCell ref="B1:I1"/>
    <mergeCell ref="B37:C37"/>
    <mergeCell ref="D37:E37"/>
    <mergeCell ref="F20:I20"/>
    <mergeCell ref="E26:F26"/>
    <mergeCell ref="D39:E39"/>
    <mergeCell ref="F39:G39"/>
    <mergeCell ref="F17:I17"/>
    <mergeCell ref="G27:I27"/>
    <mergeCell ref="E25:F25"/>
    <mergeCell ref="D38:E38"/>
    <mergeCell ref="G8:I8"/>
    <mergeCell ref="G10:I10"/>
    <mergeCell ref="H38:I38"/>
    <mergeCell ref="H43:I43"/>
    <mergeCell ref="H40:I40"/>
    <mergeCell ref="B43:C43"/>
    <mergeCell ref="C29:D29"/>
    <mergeCell ref="E29:F29"/>
    <mergeCell ref="B42:C42"/>
    <mergeCell ref="E13:F13"/>
    <mergeCell ref="F36:G36"/>
    <mergeCell ref="B17:C17"/>
    <mergeCell ref="G29:I29"/>
    <mergeCell ref="D17:E17"/>
    <mergeCell ref="B19:C19"/>
    <mergeCell ref="B34:C34"/>
    <mergeCell ref="G12:I12"/>
    <mergeCell ref="C23:D23"/>
    <mergeCell ref="F18:I18"/>
    <mergeCell ref="B15:I15"/>
    <mergeCell ref="E7:F7"/>
    <mergeCell ref="B20:C20"/>
    <mergeCell ref="H42:I42"/>
    <mergeCell ref="G23:I23"/>
    <mergeCell ref="G7:I7"/>
    <mergeCell ref="B32:I32"/>
    <mergeCell ref="C24:D24"/>
    <mergeCell ref="E24:F24"/>
    <mergeCell ref="B3:I3"/>
    <mergeCell ref="D40:E40"/>
    <mergeCell ref="F40:G40"/>
    <mergeCell ref="C26:D26"/>
    <mergeCell ref="B39:C39"/>
    <mergeCell ref="E10:F10"/>
    <mergeCell ref="C25:D25"/>
    <mergeCell ref="B2:I2"/>
    <mergeCell ref="E28:F28"/>
    <mergeCell ref="D41:E41"/>
    <mergeCell ref="E9:F9"/>
    <mergeCell ref="F41:G41"/>
    <mergeCell ref="F35:G35"/>
    <mergeCell ref="G25:I25"/>
    <mergeCell ref="D16:E16"/>
    <mergeCell ref="E30:F30"/>
    <mergeCell ref="F38:G38"/>
    <mergeCell ref="D43:E43"/>
    <mergeCell ref="E11:F11"/>
    <mergeCell ref="D18:E18"/>
    <mergeCell ref="G11:I11"/>
    <mergeCell ref="F37:G37"/>
    <mergeCell ref="D42:E42"/>
    <mergeCell ref="B6:I6"/>
    <mergeCell ref="H33:I33"/>
    <mergeCell ref="B36:C36"/>
    <mergeCell ref="B4:I4"/>
  </mergeCell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DOC-KF-00 | Versión: 3.0&amp;RPágina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O73"/>
  <sheetViews>
    <sheetView showGridLines="0" view="pageLayout" workbookViewId="0">
      <selection activeCell="A1" sqref="A1"/>
    </sheetView>
  </sheetViews>
  <sheetFormatPr baseColWidth="8" defaultRowHeight="15"/>
  <cols>
    <col width="3" customWidth="1" min="1" max="1"/>
    <col width="9.5"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s>
  <sheetData>
    <row r="1" ht="30" customHeight="1">
      <c r="B1" s="1" t="inlineStr">
        <is>
          <t>GUÍA 1 · TU PERFIL Y TUS EMOCIONES CON EL DINERO</t>
        </is>
      </c>
    </row>
    <row r="2" ht="22" customHeight="1">
      <c r="B2" s="2" t="inlineStr">
        <is>
          <t>Antes de los números, entiende tu punto de partida. Lee estas dos láminas y luego responde la hoja 01.</t>
        </is>
      </c>
    </row>
    <row r="3" ht="8" customHeight="1">
      <c r="B3" s="3" t="n"/>
      <c r="C3" s="3" t="n"/>
      <c r="D3" s="3" t="n"/>
      <c r="E3" s="3" t="n"/>
      <c r="F3" s="3" t="n"/>
      <c r="G3" s="3" t="n"/>
      <c r="H3" s="3" t="n"/>
      <c r="I3" s="3" t="n"/>
      <c r="J3" s="3" t="n"/>
      <c r="K3" s="3" t="n"/>
      <c r="L3" s="3" t="n"/>
      <c r="M3" s="3" t="n"/>
      <c r="N3" s="3" t="n"/>
      <c r="O3" s="3" t="n"/>
    </row>
    <row r="5" ht="30" customHeight="1">
      <c r="B5" s="19" t="inlineStr">
        <is>
          <t>Lee los cuatro arquetipos y señala con cuál te identificas más. No hay respuestas correctas: hay atajos mentales que conviene conocer.</t>
        </is>
      </c>
    </row>
    <row r="39" ht="30" customHeight="1">
      <c r="B39" s="19" t="inlineStr">
        <is>
          <t>Tus emociones deciden más que tus cálculos. Ubica en qué nivel estás antes de tomar cualquier decisión importante de dinero.</t>
        </is>
      </c>
    </row>
    <row r="73" ht="30" customHeight="1">
      <c r="B73" s="19" t="inlineStr">
        <is>
          <t>Siguiente paso: ve a la hoja «01_Mente_y_Arquetipos» y responde las 10 preguntas. La hoja calculará tu perfil automáticamente.</t>
        </is>
      </c>
    </row>
  </sheetData>
  <mergeCells count="5">
    <mergeCell ref="B1:O1"/>
    <mergeCell ref="B73:O73"/>
    <mergeCell ref="B39:O39"/>
    <mergeCell ref="B2:O2"/>
    <mergeCell ref="B5:O5"/>
  </mergeCells>
  <pageMargins left="0.35" right="0.35" top="0.5" bottom="0.5" header="0.2" footer="0.2"/>
  <pageSetup orientation="landscape" paperSize="1" fitToHeight="0" fitToWidth="1"/>
  <headerFooter>
    <oddHeader/>
    <oddFooter>&amp;LKIT Financiero XPROF 3.0 - Guía visual&amp;RPágina &amp;P de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B1:G31"/>
  <sheetViews>
    <sheetView showGridLines="0" view="pageLayout" workbookViewId="0">
      <selection activeCell="A1" sqref="A1"/>
    </sheetView>
  </sheetViews>
  <sheetFormatPr baseColWidth="8" defaultRowHeight="15"/>
  <cols>
    <col width="3" customWidth="1" min="1" max="1"/>
    <col width="6" customWidth="1" min="2" max="2"/>
    <col width="32" customWidth="1" min="3" max="3"/>
    <col width="28" customWidth="1" min="4" max="4"/>
    <col width="28" customWidth="1" min="5" max="5"/>
    <col width="28" customWidth="1" min="6" max="6"/>
    <col width="12" customWidth="1" min="7" max="7"/>
  </cols>
  <sheetData>
    <row r="1" ht="24" customHeight="1">
      <c r="B1" s="20" t="inlineStr">
        <is>
          <t>METODOLOGÍA M.A.E.S.T.R.O. FINANCIERO XPROF</t>
        </is>
      </c>
    </row>
    <row r="2" ht="22" customHeight="1">
      <c r="B2" s="21" t="inlineStr">
        <is>
          <t>EVALUACIÓN DE PATRONES PSICOLÓGICOS, GUIONES DEL DINERO Y PERFIL DE INVERSOR | Código: DOC-KF-01</t>
        </is>
      </c>
    </row>
    <row r="3" ht="30" customHeight="1">
      <c r="B3" s="22" t="inlineStr">
        <is>
          <t>Propósito: Identificar las creencias limitantes, sesgos conductuales y tolerancia al riesgo para diseñar una estrategia financiera personalizada.</t>
        </is>
      </c>
    </row>
    <row r="4" ht="18" customHeight="1">
      <c r="B4" s="23" t="inlineStr">
        <is>
          <t>Entidad Asesora: XPROF | Versión: 3.0 | Autor: Helman Carrillo | Válido para: Personas, Emprendedores y Familias</t>
        </is>
      </c>
    </row>
    <row r="5" ht="20" customHeight="1">
      <c r="B5" s="24" t="inlineStr">
        <is>
          <t>EN UNA FRASE:   Responde con sinceridad. Al final sabrás qué tipo de relación tienes con el dinero y cuánto riesgo toleras.</t>
        </is>
      </c>
      <c r="C5" s="25" t="n"/>
      <c r="D5" s="25" t="n"/>
      <c r="E5" s="25" t="n"/>
      <c r="F5" s="25" t="n"/>
      <c r="G5" s="25" t="n"/>
    </row>
    <row r="6" ht="24" customHeight="1">
      <c r="B6" s="4" t="inlineStr">
        <is>
          <t>A. EVALUACIÓN DE PATRONES Y PSICOLOGÍA DEL DINERO (MONEY SCRIPTS - DR. BRAD KLONTZ)</t>
        </is>
      </c>
      <c r="C6" s="5" t="n"/>
      <c r="D6" s="5" t="n"/>
      <c r="E6" s="5" t="n"/>
      <c r="F6" s="5" t="n"/>
      <c r="G6" s="5" t="n"/>
    </row>
    <row r="7" ht="20" customHeight="1">
      <c r="B7" s="26" t="inlineStr">
        <is>
          <t>Ítem</t>
        </is>
      </c>
      <c r="C7" s="26" t="inlineStr">
        <is>
          <t>Afirmación Conductual Evaluada</t>
        </is>
      </c>
      <c r="D7" s="26" t="n"/>
      <c r="E7" s="26" t="inlineStr">
        <is>
          <t>Puntaje (1-5)</t>
        </is>
      </c>
      <c r="F7" s="26" t="inlineStr">
        <is>
          <t>Interpretación Consultiva</t>
        </is>
      </c>
      <c r="G7" s="26" t="n"/>
    </row>
    <row r="8" ht="22" customHeight="1">
      <c r="B8" s="13" t="n">
        <v>1</v>
      </c>
      <c r="C8" s="8" t="inlineStr">
        <is>
          <t>Reviso mis cuentas bancarias, extractos y presupuesto semanalmente con tranquilidad.</t>
        </is>
      </c>
      <c r="D8" s="27" t="n"/>
      <c r="E8" s="12" t="n">
        <v>4</v>
      </c>
      <c r="F8" s="30">
        <f>IF(E8&gt;=4,"🟢 Patrón Saludable",IF(E8=3,"🟡 Neutral / En Desarrollo","🔴 Sesgo Crítico a Trabajar"))</f>
        <v/>
      </c>
      <c r="G8" s="27" t="n"/>
    </row>
    <row r="9" ht="22" customHeight="1">
      <c r="B9" s="17" t="n">
        <v>2</v>
      </c>
      <c r="C9" s="11" t="inlineStr">
        <is>
          <t>Siento ansiedad, culpa o estrés recurrente cuando pienso en dinero o reviso mis deudas.</t>
        </is>
      </c>
      <c r="D9" s="28" t="n"/>
      <c r="E9" s="12" t="n">
        <v>2</v>
      </c>
      <c r="F9" s="29">
        <f>IF(E9&gt;=4,"🟢 Patrón Saludable",IF(E9=3,"🟡 Neutral / En Desarrollo","🔴 Sesgo Crítico a Trabajar"))</f>
        <v/>
      </c>
      <c r="G9" s="28" t="n"/>
    </row>
    <row r="10" ht="22" customHeight="1">
      <c r="B10" s="13" t="n">
        <v>3</v>
      </c>
      <c r="C10" s="8" t="inlineStr">
        <is>
          <t>Prefiero mantener el dinero guardado en cuentas corrientes 'por si acaso' en lugar de invertirlo.</t>
        </is>
      </c>
      <c r="D10" s="27" t="n"/>
      <c r="E10" s="12" t="n">
        <v>2</v>
      </c>
      <c r="F10" s="30">
        <f>IF(E10&gt;=4,"🟢 Patrón Saludable",IF(E10=3,"🟡 Neutral / En Desarrollo","🔴 Sesgo Crítico a Trabajar"))</f>
        <v/>
      </c>
      <c r="G10" s="27" t="n"/>
    </row>
    <row r="11" ht="22" customHeight="1">
      <c r="B11" s="17" t="n">
        <v>4</v>
      </c>
      <c r="C11" s="11" t="inlineStr">
        <is>
          <t>Cuando recibo ingresos extra o bonificaciones, mi primer impulso es gastarlo de inmediato.</t>
        </is>
      </c>
      <c r="D11" s="28" t="n"/>
      <c r="E11" s="12" t="n">
        <v>1</v>
      </c>
      <c r="F11" s="29">
        <f>IF(E11&gt;=4,"🟢 Patrón Saludable",IF(E11=3,"🟡 Neutral / En Desarrollo","🔴 Sesgo Crítico a Trabajar"))</f>
        <v/>
      </c>
      <c r="G11" s="28" t="n"/>
    </row>
    <row r="12" ht="22" customHeight="1">
      <c r="B12" s="13" t="n">
        <v>5</v>
      </c>
      <c r="C12" s="8" t="inlineStr">
        <is>
          <t>Tengo metas financieras escritas a 1, 3 y 5 años con un plan de ahorro e inversión activo.</t>
        </is>
      </c>
      <c r="D12" s="27" t="n"/>
      <c r="E12" s="12" t="n">
        <v>4</v>
      </c>
      <c r="F12" s="30">
        <f>IF(E12&gt;=4,"🟢 Patrón Saludable",IF(E12=3,"🟡 Neutral / En Desarrollo","🔴 Sesgo Crítico a Trabajar"))</f>
        <v/>
      </c>
      <c r="G12" s="27" t="n"/>
    </row>
    <row r="13" ht="22" customHeight="1">
      <c r="B13" s="17" t="n">
        <v>6</v>
      </c>
      <c r="C13" s="11" t="inlineStr">
        <is>
          <t>Evito hablar abiertamente de dinero con mi pareja, socios o familiares por temor a conflictos.</t>
        </is>
      </c>
      <c r="D13" s="28" t="n"/>
      <c r="E13" s="12" t="n">
        <v>1</v>
      </c>
      <c r="F13" s="29">
        <f>IF(E13&gt;=4,"🟢 Patrón Saludable",IF(E13=3,"🟡 Neutral / En Desarrollo","🔴 Sesgo Crítico a Trabajar"))</f>
        <v/>
      </c>
      <c r="G13" s="28" t="n"/>
    </row>
    <row r="14" ht="22" customHeight="1">
      <c r="B14" s="13" t="n">
        <v>7</v>
      </c>
      <c r="C14" s="8" t="inlineStr">
        <is>
          <t>Me cuesta mucho gastar dinero en salud, bienestar o educación propia, incluso teniéndolo.</t>
        </is>
      </c>
      <c r="D14" s="27" t="n"/>
      <c r="E14" s="12" t="n">
        <v>2</v>
      </c>
      <c r="F14" s="30">
        <f>IF(E14&gt;=4,"🟢 Patrón Saludable",IF(E14=3,"🟡 Neutral / En Desarrollo","🔴 Sesgo Crítico a Trabajar"))</f>
        <v/>
      </c>
      <c r="G14" s="27" t="n"/>
    </row>
    <row r="15" ht="22" customHeight="1">
      <c r="B15" s="17" t="n">
        <v>8</v>
      </c>
      <c r="C15" s="11" t="inlineStr">
        <is>
          <t>A menudo realizo compras emocionales no planificadas cuando estoy estresado o aburrido.</t>
        </is>
      </c>
      <c r="D15" s="28" t="n"/>
      <c r="E15" s="12" t="n">
        <v>1</v>
      </c>
      <c r="F15" s="29">
        <f>IF(E15&gt;=4,"🟢 Patrón Saludable",IF(E15=3,"🟡 Neutral / En Desarrollo","🔴 Sesgo Crítico a Trabajar"))</f>
        <v/>
      </c>
      <c r="G15" s="28" t="n"/>
    </row>
    <row r="16" ht="22" customHeight="1">
      <c r="B16" s="13" t="n">
        <v>9</v>
      </c>
      <c r="C16" s="8" t="inlineStr">
        <is>
          <t>Dedico tiempo mensual a educarme sobre inversiones, fiscalidad y modelos de negocio.</t>
        </is>
      </c>
      <c r="D16" s="27" t="n"/>
      <c r="E16" s="12" t="n">
        <v>4</v>
      </c>
      <c r="F16" s="30">
        <f>IF(E16&gt;=4,"🟢 Patrón Saludable",IF(E16=3,"🟡 Neutral / En Desarrollo","🔴 Sesgo Crítico a Trabajar"))</f>
        <v/>
      </c>
      <c r="G16" s="27" t="n"/>
    </row>
    <row r="17" ht="22" customHeight="1">
      <c r="B17" s="17" t="n">
        <v>10</v>
      </c>
      <c r="C17" s="11" t="inlineStr">
        <is>
          <t>Considero que la riqueza financiera es el resultado de la disciplina, el valor aportado y el interés compuesto.</t>
        </is>
      </c>
      <c r="D17" s="28" t="n"/>
      <c r="E17" s="12" t="n">
        <v>5</v>
      </c>
      <c r="F17" s="29">
        <f>IF(E17&gt;=4,"🟢 Patrón Saludable",IF(E17=3,"🟡 Neutral / En Desarrollo","🔴 Sesgo Crítico a Trabajar"))</f>
        <v/>
      </c>
      <c r="G17" s="28" t="n"/>
    </row>
    <row r="18" ht="22" customHeight="1">
      <c r="B18" s="31" t="inlineStr">
        <is>
          <t>PUNTAJE TOTAL CONDUCTUAL (Máx. 50 pts):</t>
        </is>
      </c>
      <c r="C18" s="32" t="n"/>
      <c r="D18" s="32" t="n"/>
      <c r="E18" s="33">
        <f>SUM(E8:E17)</f>
        <v/>
      </c>
      <c r="F18" s="34">
        <f>IF(E18&lt;20,"🔴 EVASOR DEL DINERO",IF(E18&lt;30,"🟡 AHORRADOR CAUTELOSO",IF(E18&lt;40,"🟡 GASTADOR IMPULSIVO","🟢 GESTOR CONSCIENTE / MAESTRO")))</f>
        <v/>
      </c>
      <c r="G18" s="32" t="n"/>
    </row>
    <row r="20" ht="24" customHeight="1">
      <c r="B20" s="4" t="inlineStr">
        <is>
          <t>B. AUTOEVALUACIÓN DE PERFIL Y ARQUETIPO DE INVERSOR (TOLERANCIA AL RIESGO)</t>
        </is>
      </c>
      <c r="C20" s="5" t="n"/>
      <c r="D20" s="5" t="n"/>
      <c r="E20" s="5" t="n"/>
      <c r="F20" s="5" t="n"/>
      <c r="G20" s="5" t="n"/>
    </row>
    <row r="21" ht="20" customHeight="1">
      <c r="B21" s="26" t="inlineStr">
        <is>
          <t>N°</t>
        </is>
      </c>
      <c r="C21" s="26" t="inlineStr">
        <is>
          <t>Dimensión Evaluada</t>
        </is>
      </c>
      <c r="D21" s="26" t="inlineStr">
        <is>
          <t>Opción A (1 pto)</t>
        </is>
      </c>
      <c r="E21" s="26" t="inlineStr">
        <is>
          <t>Opción B (2 ptos)</t>
        </is>
      </c>
      <c r="F21" s="26" t="inlineStr">
        <is>
          <t>Opción C (3 ptos)</t>
        </is>
      </c>
      <c r="G21" s="26" t="inlineStr">
        <is>
          <t>Puntos</t>
        </is>
      </c>
    </row>
    <row r="22" ht="22" customHeight="1">
      <c r="B22" s="13" t="n">
        <v>1</v>
      </c>
      <c r="C22" s="8" t="inlineStr">
        <is>
          <t>Horizonte temporal de inversión:</t>
        </is>
      </c>
      <c r="D22" s="8" t="inlineStr">
        <is>
          <t>Corto plazo (&lt; 3 años)</t>
        </is>
      </c>
      <c r="E22" s="8" t="inlineStr">
        <is>
          <t>Mediano plazo (3 a 7 años)</t>
        </is>
      </c>
      <c r="F22" s="8" t="inlineStr">
        <is>
          <t>Largo plazo (&gt; 7 años)</t>
        </is>
      </c>
      <c r="G22" s="12" t="n">
        <v>2</v>
      </c>
    </row>
    <row r="23" ht="22" customHeight="1">
      <c r="B23" s="17" t="n">
        <v>2</v>
      </c>
      <c r="C23" s="11" t="inlineStr">
        <is>
          <t>Tolerancia a la volatilidad del mercado:</t>
        </is>
      </c>
      <c r="D23" s="11" t="inlineStr">
        <is>
          <t>Baja (no tolero pérdidas temporales)</t>
        </is>
      </c>
      <c r="E23" s="11" t="inlineStr">
        <is>
          <t>Media (acepto fluctuaciones moderadas)</t>
        </is>
      </c>
      <c r="F23" s="11" t="inlineStr">
        <is>
          <t>Alta (busco alto retorno a largo plazo)</t>
        </is>
      </c>
      <c r="G23" s="12" t="n">
        <v>2</v>
      </c>
    </row>
    <row r="24" ht="22" customHeight="1">
      <c r="B24" s="13" t="n">
        <v>3</v>
      </c>
      <c r="C24" s="8" t="inlineStr">
        <is>
          <t>Objetivo financiero principal:</t>
        </is>
      </c>
      <c r="D24" s="8" t="inlineStr">
        <is>
          <t>Preservar el capital existente</t>
        </is>
      </c>
      <c r="E24" s="8" t="inlineStr">
        <is>
          <t>Equilibrio entre renta y crecimiento</t>
        </is>
      </c>
      <c r="F24" s="8" t="inlineStr">
        <is>
          <t>Maximizar crecimiento exponencial</t>
        </is>
      </c>
      <c r="G24" s="12" t="n">
        <v>2</v>
      </c>
    </row>
    <row r="25" ht="22" customHeight="1">
      <c r="B25" s="17" t="n">
        <v>4</v>
      </c>
      <c r="C25" s="11" t="inlineStr">
        <is>
          <t>Reacción ante una caída del 20% en bolsa:</t>
        </is>
      </c>
      <c r="D25" s="11" t="inlineStr">
        <is>
          <t>Vendo todo para evitar más pérdidas</t>
        </is>
      </c>
      <c r="E25" s="11" t="inlineStr">
        <is>
          <t>Mantengo la calma y espero recuperación</t>
        </is>
      </c>
      <c r="F25" s="11" t="inlineStr">
        <is>
          <t>Aprovecho para comprar más a descuento</t>
        </is>
      </c>
      <c r="G25" s="12" t="n">
        <v>3</v>
      </c>
    </row>
    <row r="26" ht="22" customHeight="1">
      <c r="B26" s="13" t="n">
        <v>5</v>
      </c>
      <c r="C26" s="8" t="inlineStr">
        <is>
          <t>Nivel de conocimiento en instrumentos:</t>
        </is>
      </c>
      <c r="D26" s="8" t="inlineStr">
        <is>
          <t>Básico (solo depósitos y cuentas)</t>
        </is>
      </c>
      <c r="E26" s="8" t="inlineStr">
        <is>
          <t>Intermedio (conozco fondos y bonos)</t>
        </is>
      </c>
      <c r="F26" s="8" t="inlineStr">
        <is>
          <t>Avanzado (acciones, ETFs, derivados)</t>
        </is>
      </c>
      <c r="G26" s="12" t="n">
        <v>2</v>
      </c>
    </row>
    <row r="27" ht="22" customHeight="1">
      <c r="B27" s="17" t="n">
        <v>6</v>
      </c>
      <c r="C27" s="11" t="inlineStr">
        <is>
          <t>Capacidad de ahorro mensual recurrente:</t>
        </is>
      </c>
      <c r="D27" s="11" t="inlineStr">
        <is>
          <t>&lt; 10% de mis ingresos netos</t>
        </is>
      </c>
      <c r="E27" s="11" t="inlineStr">
        <is>
          <t>10% a 25% de mis ingresos netos</t>
        </is>
      </c>
      <c r="F27" s="11" t="inlineStr">
        <is>
          <t>&gt; 25% de mis ingresos netos</t>
        </is>
      </c>
      <c r="G27" s="12" t="n">
        <v>3</v>
      </c>
    </row>
    <row r="28" ht="22" customHeight="1">
      <c r="B28" s="31" t="inlineStr">
        <is>
          <t>PUNTAJE TOTAL DE PERFIL DE INVERSIÓN (Máx. 18 pts):</t>
        </is>
      </c>
      <c r="C28" s="32" t="n"/>
      <c r="D28" s="32" t="n"/>
      <c r="E28" s="32" t="n"/>
      <c r="F28" s="32" t="n"/>
      <c r="G28" s="33">
        <f>SUM(G22:G27)</f>
        <v/>
      </c>
    </row>
    <row r="29" ht="22" customHeight="1">
      <c r="B29" s="35" t="inlineStr">
        <is>
          <t>ARQUETIPO DE INVERSOR RESULTANTE:</t>
        </is>
      </c>
      <c r="C29" s="10" t="n"/>
      <c r="D29" s="10" t="n"/>
      <c r="E29" s="17">
        <f>IF(G28&lt;=8,"🛡️ CONSERVADOR (Preservación de Capital)",IF(G28&lt;=13,"⚖️ MODERADO / BALANCEADO (Renta y Crecimiento)","🚀 AGRESIVO / ORIENTADO AL CRECIMIENTO (Largo Plazo)"))</f>
        <v/>
      </c>
      <c r="F29" s="10" t="n"/>
      <c r="G29" s="10" t="n"/>
    </row>
    <row r="31" ht="45" customHeight="1">
      <c r="B31" s="36">
        <f>"DIAGNÓSTICO PSICOLÓGICO &amp; FINANCIERO: Tu perfil conductual es " &amp; F18 &amp; " con un arquetipo de inversión " &amp; E29 &amp; ". RECOMENDACIÓN ESTRATÉGICA: " &amp; IF(E18&lt;30,"Prioriza la automatización de tus transferencias de ahorro para evitar la toma de decisiones emocionales. Comienza con instrumentos de renta fija garantizada antes de asumir mayor riesgo.","Cuentas con una estructura psicológica sólida. Mantén tu disciplina de aportes mensuales a fondos indexados globales diversificados y ajusta tu cartera periódicamente.")</f>
        <v/>
      </c>
    </row>
  </sheetData>
  <mergeCells count="35">
    <mergeCell ref="B2:G2"/>
    <mergeCell ref="F11:G11"/>
    <mergeCell ref="F10:G10"/>
    <mergeCell ref="C15:D15"/>
    <mergeCell ref="F16:G16"/>
    <mergeCell ref="B1:G1"/>
    <mergeCell ref="C14:D14"/>
    <mergeCell ref="B29:D29"/>
    <mergeCell ref="F7:G7"/>
    <mergeCell ref="F12:G12"/>
    <mergeCell ref="C10:D10"/>
    <mergeCell ref="C16:D16"/>
    <mergeCell ref="F15:G15"/>
    <mergeCell ref="F18:G18"/>
    <mergeCell ref="C9:D9"/>
    <mergeCell ref="F17:G17"/>
    <mergeCell ref="F8:G8"/>
    <mergeCell ref="B6:G6"/>
    <mergeCell ref="C12:D12"/>
    <mergeCell ref="B20:G20"/>
    <mergeCell ref="B5:G5"/>
    <mergeCell ref="C11:D11"/>
    <mergeCell ref="B28:F28"/>
    <mergeCell ref="B4:G4"/>
    <mergeCell ref="F13:G13"/>
    <mergeCell ref="C17:D17"/>
    <mergeCell ref="F9:G9"/>
    <mergeCell ref="C8:D8"/>
    <mergeCell ref="B3:G3"/>
    <mergeCell ref="C7:D7"/>
    <mergeCell ref="B31:G31"/>
    <mergeCell ref="B18:D18"/>
    <mergeCell ref="C13:D13"/>
    <mergeCell ref="F14:G14"/>
    <mergeCell ref="E29:G29"/>
  </mergeCells>
  <conditionalFormatting sqref="F8:G17">
    <cfRule type="cellIs" priority="1" operator="equal" dxfId="0" stopIfTrue="1">
      <formula>"🟢 Patrón Saludable"</formula>
    </cfRule>
    <cfRule type="cellIs" priority="2" operator="equal" dxfId="1" stopIfTrue="1">
      <formula>"🟡 Neutral / En Desarrollo"</formula>
    </cfRule>
    <cfRule type="cellIs" priority="3" operator="equal" dxfId="2" stopIfTrue="1">
      <formula>"🔴 Sesgo Crítico a Trabajar"</formula>
    </cfRule>
  </conditionalFormatting>
  <dataValidations count="16">
    <dataValidation sqref="E8" showDropDown="0" showInputMessage="0" showErrorMessage="0" allowBlank="1" errorTitle="Opción No Válida" error="Por favor seleccione una opción válida de la lista desplegable." type="list">
      <formula1>"1,2,3,4,5"</formula1>
    </dataValidation>
    <dataValidation sqref="E9" showDropDown="0" showInputMessage="0" showErrorMessage="0" allowBlank="1" errorTitle="Opción No Válida" error="Por favor seleccione una opción válida de la lista desplegable." type="list">
      <formula1>"1,2,3,4,5"</formula1>
    </dataValidation>
    <dataValidation sqref="E10" showDropDown="0" showInputMessage="0" showErrorMessage="0" allowBlank="1" errorTitle="Opción No Válida" error="Por favor seleccione una opción válida de la lista desplegable." type="list">
      <formula1>"1,2,3,4,5"</formula1>
    </dataValidation>
    <dataValidation sqref="E11" showDropDown="0" showInputMessage="0" showErrorMessage="0" allowBlank="1" errorTitle="Opción No Válida" error="Por favor seleccione una opción válida de la lista desplegable." type="list">
      <formula1>"1,2,3,4,5"</formula1>
    </dataValidation>
    <dataValidation sqref="E12" showDropDown="0" showInputMessage="0" showErrorMessage="0" allowBlank="1" errorTitle="Opción No Válida" error="Por favor seleccione una opción válida de la lista desplegable." type="list">
      <formula1>"1,2,3,4,5"</formula1>
    </dataValidation>
    <dataValidation sqref="E13" showDropDown="0" showInputMessage="0" showErrorMessage="0" allowBlank="1" errorTitle="Opción No Válida" error="Por favor seleccione una opción válida de la lista desplegable." type="list">
      <formula1>"1,2,3,4,5"</formula1>
    </dataValidation>
    <dataValidation sqref="E14" showDropDown="0" showInputMessage="0" showErrorMessage="0" allowBlank="1" errorTitle="Opción No Válida" error="Por favor seleccione una opción válida de la lista desplegable." type="list">
      <formula1>"1,2,3,4,5"</formula1>
    </dataValidation>
    <dataValidation sqref="E15" showDropDown="0" showInputMessage="0" showErrorMessage="0" allowBlank="1" errorTitle="Opción No Válida" error="Por favor seleccione una opción válida de la lista desplegable." type="list">
      <formula1>"1,2,3,4,5"</formula1>
    </dataValidation>
    <dataValidation sqref="E16" showDropDown="0" showInputMessage="0" showErrorMessage="0" allowBlank="1" errorTitle="Opción No Válida" error="Por favor seleccione una opción válida de la lista desplegable." type="list">
      <formula1>"1,2,3,4,5"</formula1>
    </dataValidation>
    <dataValidation sqref="E17" showDropDown="0" showInputMessage="0" showErrorMessage="0" allowBlank="1" errorTitle="Opción No Válida" error="Por favor seleccione una opción válida de la lista desplegable." type="list">
      <formula1>"1,2,3,4,5"</formula1>
    </dataValidation>
    <dataValidation sqref="G22" showDropDown="0" showInputMessage="0" showErrorMessage="0" allowBlank="1" errorTitle="Opción No Válida" error="Por favor seleccione una opción válida de la lista desplegable." type="list">
      <formula1>"1,2,3"</formula1>
    </dataValidation>
    <dataValidation sqref="G23" showDropDown="0" showInputMessage="0" showErrorMessage="0" allowBlank="1" errorTitle="Opción No Válida" error="Por favor seleccione una opción válida de la lista desplegable." type="list">
      <formula1>"1,2,3"</formula1>
    </dataValidation>
    <dataValidation sqref="G24" showDropDown="0" showInputMessage="0" showErrorMessage="0" allowBlank="1" errorTitle="Opción No Válida" error="Por favor seleccione una opción válida de la lista desplegable." type="list">
      <formula1>"1,2,3"</formula1>
    </dataValidation>
    <dataValidation sqref="G25" showDropDown="0" showInputMessage="0" showErrorMessage="0" allowBlank="1" errorTitle="Opción No Válida" error="Por favor seleccione una opción válida de la lista desplegable." type="list">
      <formula1>"1,2,3"</formula1>
    </dataValidation>
    <dataValidation sqref="G26" showDropDown="0" showInputMessage="0" showErrorMessage="0" allowBlank="1" errorTitle="Opción No Válida" error="Por favor seleccione una opción válida de la lista desplegable." type="list">
      <formula1>"1,2,3"</formula1>
    </dataValidation>
    <dataValidation sqref="G27" showDropDown="0" showInputMessage="0" showErrorMessage="0" allowBlank="1" errorTitle="Opción No Válida" error="Por favor seleccione una opción válida de la lista desplegable." type="list">
      <formula1>"1,2,3"</formula1>
    </dataValidation>
  </dataValidation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DOC-KF-01 | Versión: 3.0&amp;RPágina &amp;P de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B1:G33"/>
  <sheetViews>
    <sheetView showGridLines="0" view="pageLayout" workbookViewId="0">
      <selection activeCell="A1" sqref="A1"/>
    </sheetView>
  </sheetViews>
  <sheetFormatPr baseColWidth="8" defaultRowHeight="15"/>
  <cols>
    <col width="3" customWidth="1" min="1" max="1"/>
    <col width="24" customWidth="1" min="2" max="2"/>
    <col width="26" customWidth="1" min="3" max="3"/>
    <col width="24" customWidth="1" min="4" max="4"/>
    <col width="20" customWidth="1" min="5" max="5"/>
    <col width="26" customWidth="1" min="6" max="6"/>
    <col width="24" customWidth="1" min="7" max="7"/>
  </cols>
  <sheetData>
    <row r="1" ht="24" customHeight="1">
      <c r="B1" s="20" t="inlineStr">
        <is>
          <t>METODOLOGÍA M.A.E.S.T.R.O. FINANCIERO XPROF</t>
        </is>
      </c>
    </row>
    <row r="2" ht="22" customHeight="1">
      <c r="B2" s="21" t="inlineStr">
        <is>
          <t>LIENZO IKIGAI FINANCIERO Y MATRIZ DE MONETIZACIÓN SOSTENIBLE | Código: DOC-KF-02</t>
        </is>
      </c>
    </row>
    <row r="3" ht="30" customHeight="1">
      <c r="B3" s="22" t="inlineStr">
        <is>
          <t>Propósito: Alinear el propósito personal y profesional con modelos de monetización viables, escalables y de alta rentabilidad.</t>
        </is>
      </c>
    </row>
    <row r="4" ht="18" customHeight="1">
      <c r="B4" s="23" t="inlineStr">
        <is>
          <t>Entidad Asesora: XPROF | Versión: 3.0 | Autor: Helman Carrillo | Válido para: Personas, Emprendedores y Familias</t>
        </is>
      </c>
    </row>
    <row r="5" ht="20" customHeight="1">
      <c r="B5" s="24" t="inlineStr">
        <is>
          <t>EN UNA FRASE:   Escribe qué te gusta, qué sabes hacer y por qué te pagarían. Sirve para decidir en qué enfocar tu energía.</t>
        </is>
      </c>
      <c r="C5" s="25" t="n"/>
      <c r="D5" s="25" t="n"/>
      <c r="E5" s="25" t="n"/>
      <c r="F5" s="25" t="n"/>
      <c r="G5" s="25" t="n"/>
    </row>
    <row r="6" ht="24" customHeight="1">
      <c r="B6" s="4" t="inlineStr">
        <is>
          <t>1. MATRIZ DE LOS 4 CUADRANTES DEL IKIGAI FINANCIERO</t>
        </is>
      </c>
      <c r="C6" s="5" t="n"/>
      <c r="D6" s="5" t="n"/>
      <c r="E6" s="5" t="n"/>
      <c r="F6" s="5" t="n"/>
      <c r="G6" s="5" t="n"/>
    </row>
    <row r="7" ht="20" customHeight="1">
      <c r="B7" s="26" t="inlineStr">
        <is>
          <t>CUADRANTE 1: LO QUE AMAS (Tu Pasión / Intereses Profundos)</t>
        </is>
      </c>
      <c r="C7" s="26" t="n"/>
      <c r="D7" s="26" t="n"/>
      <c r="E7" s="26" t="inlineStr">
        <is>
          <t>CUADRANTE 2: EN LO QUE ERES BUENO (Tus Fortalezas y Talentos)</t>
        </is>
      </c>
      <c r="F7" s="26" t="n"/>
      <c r="G7" s="26" t="n"/>
    </row>
    <row r="8" ht="22" customHeight="1">
      <c r="B8" s="37" t="inlineStr">
        <is>
          <t>Consultoría estratégica y análisis de datos de negocio</t>
        </is>
      </c>
      <c r="C8" s="38" t="n"/>
      <c r="D8" s="38" t="n"/>
      <c r="E8" s="37" t="inlineStr">
        <is>
          <t>Capacidad analítica avanzada y estructuración de modelos financieros</t>
        </is>
      </c>
      <c r="F8" s="38" t="n"/>
      <c r="G8" s="38" t="n"/>
    </row>
    <row r="9" ht="22" customHeight="1">
      <c r="B9" s="37" t="inlineStr">
        <is>
          <t>Diseño de herramientas de optimización y automatización</t>
        </is>
      </c>
      <c r="C9" s="38" t="n"/>
      <c r="D9" s="38" t="n"/>
      <c r="E9" s="37" t="inlineStr">
        <is>
          <t>Programación en Python, Excel avanzado y diseño de sistemas</t>
        </is>
      </c>
      <c r="F9" s="38" t="n"/>
      <c r="G9" s="38" t="n"/>
    </row>
    <row r="10" ht="22" customHeight="1">
      <c r="B10" s="37" t="inlineStr">
        <is>
          <t>Enseñanza y mentoría a emprendedores y directivos</t>
        </is>
      </c>
      <c r="C10" s="38" t="n"/>
      <c r="D10" s="38" t="n"/>
      <c r="E10" s="37" t="inlineStr">
        <is>
          <t>Comunicación clara, docencia y facilitación de talleres</t>
        </is>
      </c>
      <c r="F10" s="38" t="n"/>
      <c r="G10" s="38" t="n"/>
    </row>
    <row r="11" ht="22" customHeight="1">
      <c r="B11" s="37" t="inlineStr">
        <is>
          <t>Investigación y desarrollo de nuevas metodologías</t>
        </is>
      </c>
      <c r="C11" s="38" t="n"/>
      <c r="D11" s="38" t="n"/>
      <c r="E11" s="37" t="inlineStr">
        <is>
          <t>Visión estratégica, síntesis conceptual y redacción técnica</t>
        </is>
      </c>
      <c r="F11" s="38" t="n"/>
      <c r="G11" s="38" t="n"/>
    </row>
    <row r="13" ht="20" customHeight="1">
      <c r="B13" s="26" t="inlineStr">
        <is>
          <t>CUADRANTE 3: LO QUE EL MUNDO NECESITA (Problemas Reales a Resolver)</t>
        </is>
      </c>
      <c r="C13" s="26" t="n"/>
      <c r="D13" s="26" t="n"/>
      <c r="E13" s="26" t="inlineStr">
        <is>
          <t>CUADRANTE 4: POR LO QUE TE PUEDEN PAGAR (Fuentes de Ingreso y Mercado)</t>
        </is>
      </c>
      <c r="F13" s="26" t="n"/>
      <c r="G13" s="26" t="n"/>
    </row>
    <row r="14" ht="22" customHeight="1">
      <c r="B14" s="37" t="inlineStr">
        <is>
          <t>Pymes y emprendedores requieren controlar sus finanzas sin depender de software costoso</t>
        </is>
      </c>
      <c r="C14" s="38" t="n"/>
      <c r="D14" s="38" t="n"/>
      <c r="E14" s="37" t="inlineStr">
        <is>
          <t>Venta de plantillas y kits financieros profesionales de autogestión</t>
        </is>
      </c>
      <c r="F14" s="38" t="n"/>
      <c r="G14" s="38" t="n"/>
    </row>
    <row r="15" ht="22" customHeight="1">
      <c r="B15" s="37" t="inlineStr">
        <is>
          <t>Profesionales necesitan ordenar sus deudas y estructurar su plan de retiro</t>
        </is>
      </c>
      <c r="C15" s="38" t="n"/>
      <c r="D15" s="38" t="n"/>
      <c r="E15" s="37" t="inlineStr">
        <is>
          <t>Asesoría personalizada en finanzas personales y planeación patrimonial</t>
        </is>
      </c>
      <c r="F15" s="38" t="n"/>
      <c r="G15" s="38" t="n"/>
    </row>
    <row r="16" ht="22" customHeight="1">
      <c r="B16" s="37" t="inlineStr">
        <is>
          <t>Empresas requieren optimizar sus márgenes y calcular su punto de equilibrio real</t>
        </is>
      </c>
      <c r="C16" s="38" t="n"/>
      <c r="D16" s="38" t="n"/>
      <c r="E16" s="37" t="inlineStr">
        <is>
          <t>Consultoría B2B en costeo, pricing y estructuración presupuestaria</t>
        </is>
      </c>
      <c r="F16" s="38" t="n"/>
      <c r="G16" s="38" t="n"/>
    </row>
    <row r="17" ht="22" customHeight="1">
      <c r="B17" s="37" t="inlineStr">
        <is>
          <t>Familias buscan erradicar el estrés financiero mediante métodos claros</t>
        </is>
      </c>
      <c r="C17" s="38" t="n"/>
      <c r="D17" s="38" t="n"/>
      <c r="E17" s="37" t="inlineStr">
        <is>
          <t>Talleres corporativos y programas de bienestar financiero para empresas</t>
        </is>
      </c>
      <c r="F17" s="38" t="n"/>
      <c r="G17" s="38" t="n"/>
    </row>
    <row r="19" ht="24" customHeight="1">
      <c r="B19" s="4" t="inlineStr">
        <is>
          <t>2. SÍNTESIS DE INTERSECCIONES ESTRATÉGICAS Y PROPÓSITO CENTRAL</t>
        </is>
      </c>
      <c r="C19" s="5" t="n"/>
      <c r="D19" s="5" t="n"/>
      <c r="E19" s="5" t="n"/>
      <c r="F19" s="5" t="n"/>
      <c r="G19" s="5" t="n"/>
    </row>
    <row r="20" ht="22" customHeight="1">
      <c r="B20" s="35" t="inlineStr">
        <is>
          <t>PASIÓN (Amas + Eres Bueno):</t>
        </is>
      </c>
      <c r="C20" s="39" t="inlineStr">
        <is>
          <t>Crear instrumentos analíticos de alta calidad técnica y visual para resolver problemas complejos.</t>
        </is>
      </c>
      <c r="D20" s="10" t="n"/>
      <c r="E20" s="10" t="n"/>
      <c r="F20" s="10" t="n"/>
      <c r="G20" s="10" t="n"/>
    </row>
    <row r="21" ht="22" customHeight="1">
      <c r="B21" s="40" t="inlineStr">
        <is>
          <t>MISIÓN (Amas + El Mundo Necesita):</t>
        </is>
      </c>
      <c r="C21" s="41" t="inlineStr">
        <is>
          <t>Democratizar la educación financiera y dotar a personas y empresas de herramientas de autogestión.</t>
        </is>
      </c>
      <c r="D21" s="7" t="n"/>
      <c r="E21" s="7" t="n"/>
      <c r="F21" s="7" t="n"/>
      <c r="G21" s="7" t="n"/>
    </row>
    <row r="22" ht="22" customHeight="1">
      <c r="B22" s="35" t="inlineStr">
        <is>
          <t>VOCACIÓN (El Mundo Necesita + Te Pagan):</t>
        </is>
      </c>
      <c r="C22" s="39" t="inlineStr">
        <is>
          <t>Formar y capacitar a la nueva generación de emprendedores en gestión de liquidez y rentabilidad.</t>
        </is>
      </c>
      <c r="D22" s="10" t="n"/>
      <c r="E22" s="10" t="n"/>
      <c r="F22" s="10" t="n"/>
      <c r="G22" s="10" t="n"/>
    </row>
    <row r="23" ht="22" customHeight="1">
      <c r="B23" s="40" t="inlineStr">
        <is>
          <t>PROFESIÓN (Eres Bueno + Te Pagan):</t>
        </is>
      </c>
      <c r="C23" s="41" t="inlineStr">
        <is>
          <t>Consultor y desarrollador de soluciones estratégicas de crecimiento e innovación empresarial.</t>
        </is>
      </c>
      <c r="D23" s="7" t="n"/>
      <c r="E23" s="7" t="n"/>
      <c r="F23" s="7" t="n"/>
      <c r="G23" s="7" t="n"/>
    </row>
    <row r="24" ht="22" customHeight="1">
      <c r="B24" s="42" t="inlineStr">
        <is>
          <t>MI IKIGAI CENTRAL (Intersección Total):</t>
        </is>
      </c>
      <c r="C24" s="43" t="inlineStr">
        <is>
          <t>Liderar un ecosistema de autogestión financiera asistida que transforma la estabilidad y riqueza de miles de personas y pymes.</t>
        </is>
      </c>
      <c r="D24" s="44" t="n"/>
      <c r="E24" s="44" t="n"/>
      <c r="F24" s="44" t="n"/>
      <c r="G24" s="44" t="n"/>
    </row>
    <row r="26" ht="24" customHeight="1">
      <c r="B26" s="4" t="inlineStr">
        <is>
          <t>3. EVALUACIÓN CUANTITATIVA DE VIABILIDAD ECONÓMICA DEL MODELO IKIGAI</t>
        </is>
      </c>
      <c r="C26" s="5" t="n"/>
      <c r="D26" s="5" t="n"/>
      <c r="E26" s="5" t="n"/>
      <c r="F26" s="5" t="n"/>
      <c r="G26" s="5" t="n"/>
    </row>
    <row r="27" ht="20" customHeight="1">
      <c r="B27" s="26" t="inlineStr">
        <is>
          <t>N°</t>
        </is>
      </c>
      <c r="C27" s="26" t="inlineStr">
        <is>
          <t>Criterio de Viabilidad Económica</t>
        </is>
      </c>
      <c r="D27" s="26" t="n"/>
      <c r="E27" s="26" t="inlineStr">
        <is>
          <t>Calificación (1-5)</t>
        </is>
      </c>
      <c r="F27" s="26" t="inlineStr">
        <is>
          <t>Interpretación de Viabilidad</t>
        </is>
      </c>
      <c r="G27" s="26" t="n"/>
    </row>
    <row r="28" ht="22" customHeight="1">
      <c r="B28" s="13" t="n">
        <v>1</v>
      </c>
      <c r="C28" s="8" t="inlineStr">
        <is>
          <t>Demanda del Mercado: Existen clientes buscando y pagando activamente por esta solución.</t>
        </is>
      </c>
      <c r="D28" s="27" t="n"/>
      <c r="E28" s="12" t="n">
        <v>5</v>
      </c>
      <c r="F28" s="30">
        <f>IF(E28&gt;=4,"🟢 Fortaleza Clave",IF(E28=3,"🟡 Nivel Medio","🔴 Cuello de Botella"))</f>
        <v/>
      </c>
      <c r="G28" s="27" t="n"/>
    </row>
    <row r="29" ht="22" customHeight="1">
      <c r="B29" s="17" t="n">
        <v>2</v>
      </c>
      <c r="C29" s="11" t="inlineStr">
        <is>
          <t>Escalabilidad: El modelo puede crecer sin requerir un aumento proporcional idéntico de horas de trabajo.</t>
        </is>
      </c>
      <c r="D29" s="28" t="n"/>
      <c r="E29" s="12" t="n">
        <v>4</v>
      </c>
      <c r="F29" s="29">
        <f>IF(E29&gt;=4,"🟢 Fortaleza Clave",IF(E29=3,"🟡 Nivel Medio","🔴 Cuello de Botella"))</f>
        <v/>
      </c>
      <c r="G29" s="28" t="n"/>
    </row>
    <row r="30" ht="22" customHeight="1">
      <c r="B30" s="13" t="n">
        <v>3</v>
      </c>
      <c r="C30" s="8" t="inlineStr">
        <is>
          <t>Diferenciación Competitiva: La propuesta de valor supera con claridad las alternativas genéricas.</t>
        </is>
      </c>
      <c r="D30" s="27" t="n"/>
      <c r="E30" s="12" t="n">
        <v>5</v>
      </c>
      <c r="F30" s="30">
        <f>IF(E30&gt;=4,"🟢 Fortaleza Clave",IF(E30=3,"🟡 Nivel Medio","🔴 Cuello de Botella"))</f>
        <v/>
      </c>
      <c r="G30" s="27" t="n"/>
    </row>
    <row r="31" ht="22" customHeight="1">
      <c r="B31" s="17" t="n">
        <v>4</v>
      </c>
      <c r="C31" s="11" t="inlineStr">
        <is>
          <t>Facilidad y Rapidez de Ejecución: Se cuenta con las competencias y recursos iniciales para arrancar.</t>
        </is>
      </c>
      <c r="D31" s="28" t="n"/>
      <c r="E31" s="12" t="n">
        <v>4</v>
      </c>
      <c r="F31" s="29">
        <f>IF(E31&gt;=4,"🟢 Fortaleza Clave",IF(E31=3,"🟡 Nivel Medio","🔴 Cuello de Botella"))</f>
        <v/>
      </c>
      <c r="G31" s="28" t="n"/>
    </row>
    <row r="32" ht="22" customHeight="1">
      <c r="B32" s="13" t="n">
        <v>5</v>
      </c>
      <c r="C32" s="8" t="inlineStr">
        <is>
          <t>Margen de Rentabilidad Potencial: Los costos directos de entrega son bajos respecto al precio cobrado.</t>
        </is>
      </c>
      <c r="D32" s="27" t="n"/>
      <c r="E32" s="12" t="n">
        <v>5</v>
      </c>
      <c r="F32" s="30">
        <f>IF(E32&gt;=4,"🟢 Fortaleza Clave",IF(E32=3,"🟡 Nivel Medio","🔴 Cuello de Botella"))</f>
        <v/>
      </c>
      <c r="G32" s="27" t="n"/>
    </row>
    <row r="33" ht="22" customHeight="1">
      <c r="B33" s="31" t="inlineStr">
        <is>
          <t>ÍNDICE DE VIABILIDAD ECONÓMICA IKIGAI (%):</t>
        </is>
      </c>
      <c r="C33" s="32" t="n"/>
      <c r="D33" s="32" t="n"/>
      <c r="E33" s="45">
        <f>SUM(E28:E32)/25</f>
        <v/>
      </c>
      <c r="F33" s="34">
        <f>IF(E33&gt;=0.8,"🌟 MODELO DE ALTO POTENCIAL Y ESCALABILIDAD",IF(E33&gt;=0.6,"⚖️ MODELO VIABLE CON AJUSTES EN ESCALA","⚠️ RIESGO: REQUIERE AJUSTAR PROPUESTA DE VALOR"))</f>
        <v/>
      </c>
      <c r="G33" s="32" t="n"/>
    </row>
  </sheetData>
  <mergeCells count="47">
    <mergeCell ref="B2:G2"/>
    <mergeCell ref="E10:G10"/>
    <mergeCell ref="B11:D11"/>
    <mergeCell ref="B14:D14"/>
    <mergeCell ref="E13:G13"/>
    <mergeCell ref="C30:D30"/>
    <mergeCell ref="F29:G29"/>
    <mergeCell ref="C24:G24"/>
    <mergeCell ref="B8:D8"/>
    <mergeCell ref="B1:G1"/>
    <mergeCell ref="B17:D17"/>
    <mergeCell ref="B13:D13"/>
    <mergeCell ref="E9:G9"/>
    <mergeCell ref="E15:G15"/>
    <mergeCell ref="B10:D10"/>
    <mergeCell ref="B19:G19"/>
    <mergeCell ref="C20:G20"/>
    <mergeCell ref="C29:D29"/>
    <mergeCell ref="E11:G11"/>
    <mergeCell ref="F30:G30"/>
    <mergeCell ref="F33:G33"/>
    <mergeCell ref="B9:D9"/>
    <mergeCell ref="F32:G32"/>
    <mergeCell ref="B15:D15"/>
    <mergeCell ref="C22:G22"/>
    <mergeCell ref="C31:D31"/>
    <mergeCell ref="E7:G7"/>
    <mergeCell ref="B6:G6"/>
    <mergeCell ref="E16:G16"/>
    <mergeCell ref="B33:D33"/>
    <mergeCell ref="C21:G21"/>
    <mergeCell ref="B5:G5"/>
    <mergeCell ref="C27:D27"/>
    <mergeCell ref="F31:G31"/>
    <mergeCell ref="B4:G4"/>
    <mergeCell ref="B26:G26"/>
    <mergeCell ref="F28:G28"/>
    <mergeCell ref="C23:G23"/>
    <mergeCell ref="B7:D7"/>
    <mergeCell ref="F27:G27"/>
    <mergeCell ref="B16:D16"/>
    <mergeCell ref="B3:G3"/>
    <mergeCell ref="C32:D32"/>
    <mergeCell ref="E14:G14"/>
    <mergeCell ref="E8:G8"/>
    <mergeCell ref="E17:G17"/>
    <mergeCell ref="C28:D28"/>
  </mergeCells>
  <conditionalFormatting sqref="F28:G32">
    <cfRule type="cellIs" priority="1" operator="equal" dxfId="0" stopIfTrue="1">
      <formula>"🟢 Fortaleza Clave"</formula>
    </cfRule>
    <cfRule type="cellIs" priority="2" operator="equal" dxfId="1" stopIfTrue="1">
      <formula>"🟡 Nivel Medio"</formula>
    </cfRule>
    <cfRule type="cellIs" priority="3" operator="equal" dxfId="2" stopIfTrue="1">
      <formula>"🔴 Cuello de Botella"</formula>
    </cfRule>
  </conditionalFormatting>
  <dataValidations count="5">
    <dataValidation sqref="E28" showDropDown="0" showInputMessage="0" showErrorMessage="0" allowBlank="1" errorTitle="Opción No Válida" error="Por favor seleccione una opción válida de la lista desplegable." type="list">
      <formula1>"1,2,3,4,5"</formula1>
    </dataValidation>
    <dataValidation sqref="E29" showDropDown="0" showInputMessage="0" showErrorMessage="0" allowBlank="1" errorTitle="Opción No Válida" error="Por favor seleccione una opción válida de la lista desplegable." type="list">
      <formula1>"1,2,3,4,5"</formula1>
    </dataValidation>
    <dataValidation sqref="E30" showDropDown="0" showInputMessage="0" showErrorMessage="0" allowBlank="1" errorTitle="Opción No Válida" error="Por favor seleccione una opción válida de la lista desplegable." type="list">
      <formula1>"1,2,3,4,5"</formula1>
    </dataValidation>
    <dataValidation sqref="E31" showDropDown="0" showInputMessage="0" showErrorMessage="0" allowBlank="1" errorTitle="Opción No Válida" error="Por favor seleccione una opción válida de la lista desplegable." type="list">
      <formula1>"1,2,3,4,5"</formula1>
    </dataValidation>
    <dataValidation sqref="E32" showDropDown="0" showInputMessage="0" showErrorMessage="0" allowBlank="1" errorTitle="Opción No Válida" error="Por favor seleccione una opción válida de la lista desplegable." type="list">
      <formula1>"1,2,3,4,5"</formula1>
    </dataValidation>
  </dataValidation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DOC-KF-02 | Versión: 3.0&amp;RPágina &amp;P de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B1:G38"/>
  <sheetViews>
    <sheetView showGridLines="0" view="pageLayout" workbookViewId="0">
      <selection activeCell="A1" sqref="A1"/>
    </sheetView>
  </sheetViews>
  <sheetFormatPr baseColWidth="8" defaultRowHeight="15"/>
  <cols>
    <col width="3" customWidth="1" min="1" max="1"/>
    <col width="22" customWidth="1" min="2" max="2"/>
    <col width="26" customWidth="1" min="3" max="3"/>
    <col width="32" customWidth="1" min="4" max="4"/>
    <col width="22" customWidth="1" min="5" max="5"/>
    <col width="16" customWidth="1" min="6" max="6"/>
    <col width="22" customWidth="1" min="7" max="7"/>
  </cols>
  <sheetData>
    <row r="1" ht="24" customHeight="1">
      <c r="B1" s="20" t="inlineStr">
        <is>
          <t>METODOLOGÍA M.A.E.S.T.R.O. FINANCIERO XPROF</t>
        </is>
      </c>
    </row>
    <row r="2" ht="22" customHeight="1">
      <c r="B2" s="21" t="inlineStr">
        <is>
          <t>BALANCE GENERAL PATRIMONIAL, FONDOS DE RESERVA Y RATIOS DE SOLVENCIA | Código: DOC-KF-03</t>
        </is>
      </c>
    </row>
    <row r="3" ht="30" customHeight="1">
      <c r="B3" s="22" t="inlineStr">
        <is>
          <t>Propósito: Registrar con exactitud los activos, pasivos, patrimonio neto real, nivel de liquidez inmediata y cobertura del fondo de emergencia.</t>
        </is>
      </c>
    </row>
    <row r="4" ht="18" customHeight="1">
      <c r="B4" s="23" t="inlineStr">
        <is>
          <t>Entidad Asesora: XPROF | Versión: 3.0 | Autor: Helman Carrillo | Válido para: Personas, Emprendedores y Familias</t>
        </is>
      </c>
    </row>
    <row r="5" ht="20" customHeight="1">
      <c r="B5" s="24" t="inlineStr">
        <is>
          <t>EN UNA FRASE:   Anota lo que tienes y lo que debes. La hoja calcula sola cuánto vales financieramente hoy.</t>
        </is>
      </c>
      <c r="C5" s="25" t="n"/>
      <c r="D5" s="25" t="n"/>
      <c r="E5" s="25" t="n"/>
      <c r="F5" s="25" t="n"/>
      <c r="G5" s="25" t="n"/>
    </row>
    <row r="6" ht="24" customHeight="1">
      <c r="B6" s="4" t="inlineStr">
        <is>
          <t>1. ESTRUCTURA INTEGRAL DE ACTIVOS (LO QUE POSEES)</t>
        </is>
      </c>
      <c r="C6" s="5" t="n"/>
      <c r="D6" s="5" t="n"/>
      <c r="E6" s="5" t="n"/>
      <c r="F6" s="5" t="n"/>
      <c r="G6" s="5" t="n"/>
    </row>
    <row r="7" ht="20" customHeight="1">
      <c r="B7" s="26" t="inlineStr">
        <is>
          <t>Categoría de Activo</t>
        </is>
      </c>
      <c r="C7" s="26" t="inlineStr">
        <is>
          <t>Subcategoría / Cuenta</t>
        </is>
      </c>
      <c r="D7" s="26" t="inlineStr">
        <is>
          <t>Descripción Específica</t>
        </is>
      </c>
      <c r="E7" s="26" t="inlineStr">
        <is>
          <t>Valor de Mercado ($)</t>
        </is>
      </c>
      <c r="F7" s="26" t="inlineStr">
        <is>
          <t>% Participación</t>
        </is>
      </c>
      <c r="G7" s="26" t="inlineStr">
        <is>
          <t>Nivel de Liquidez</t>
        </is>
      </c>
    </row>
    <row r="8" ht="21" customHeight="1">
      <c r="B8" s="8" t="inlineStr">
        <is>
          <t>Activo Líquido</t>
        </is>
      </c>
      <c r="C8" s="8" t="inlineStr">
        <is>
          <t>Efectivo y Caja</t>
        </is>
      </c>
      <c r="D8" s="8" t="inlineStr">
        <is>
          <t>Fondo en efectivo disponible en casa/oficina</t>
        </is>
      </c>
      <c r="E8" s="46" t="n">
        <v>2500000</v>
      </c>
      <c r="F8" s="47">
        <f>IF($E$18&gt;0, E8/$E$18, 0)</f>
        <v/>
      </c>
      <c r="G8" s="30" t="inlineStr">
        <is>
          <t>Inmediata (T+0)</t>
        </is>
      </c>
    </row>
    <row r="9" ht="21" customHeight="1">
      <c r="B9" s="11" t="inlineStr">
        <is>
          <t>Activo Líquido</t>
        </is>
      </c>
      <c r="C9" s="11" t="inlineStr">
        <is>
          <t>Cuentas Bancarias / Ahorro</t>
        </is>
      </c>
      <c r="D9" s="11" t="inlineStr">
        <is>
          <t>Cuenta de ahorro de alta rentabilidad (Fondo Emergencia)</t>
        </is>
      </c>
      <c r="E9" s="46" t="n">
        <v>18000000</v>
      </c>
      <c r="F9" s="48">
        <f>IF($E$18&gt;0, E9/$E$18, 0)</f>
        <v/>
      </c>
      <c r="G9" s="29" t="inlineStr">
        <is>
          <t>Inmediata (T+0)</t>
        </is>
      </c>
    </row>
    <row r="10" ht="21" customHeight="1">
      <c r="B10" s="8" t="inlineStr">
        <is>
          <t>Inversión Líquida</t>
        </is>
      </c>
      <c r="C10" s="8" t="inlineStr">
        <is>
          <t>Fondos Indexados / ETFs</t>
        </is>
      </c>
      <c r="D10" s="8" t="inlineStr">
        <is>
          <t>Fondo global indexado S&amp;P 500 y MSCI World</t>
        </is>
      </c>
      <c r="E10" s="46" t="n">
        <v>35000000</v>
      </c>
      <c r="F10" s="47">
        <f>IF($E$18&gt;0, E10/$E$18, 0)</f>
        <v/>
      </c>
      <c r="G10" s="30" t="inlineStr">
        <is>
          <t>Alta (T+2 a T+5)</t>
        </is>
      </c>
    </row>
    <row r="11" ht="21" customHeight="1">
      <c r="B11" s="11" t="inlineStr">
        <is>
          <t>Inversión Líquida</t>
        </is>
      </c>
      <c r="C11" s="11" t="inlineStr">
        <is>
          <t>Renta Fija / CDTs</t>
        </is>
      </c>
      <c r="D11" s="11" t="inlineStr">
        <is>
          <t>Certificados de depósito a término y deuda soberana</t>
        </is>
      </c>
      <c r="E11" s="46" t="n">
        <v>15000000</v>
      </c>
      <c r="F11" s="48">
        <f>IF($E$18&gt;0, E11/$E$18, 0)</f>
        <v/>
      </c>
      <c r="G11" s="29" t="inlineStr">
        <is>
          <t>Media (A vencimiento)</t>
        </is>
      </c>
    </row>
    <row r="12" ht="21" customHeight="1">
      <c r="B12" s="8" t="inlineStr">
        <is>
          <t>Bienes Raíces</t>
        </is>
      </c>
      <c r="C12" s="8" t="inlineStr">
        <is>
          <t>Vivienda Principal</t>
        </is>
      </c>
      <c r="D12" s="8" t="inlineStr">
        <is>
          <t>Apartamento / Casa de residencia familiar</t>
        </is>
      </c>
      <c r="E12" s="46" t="n">
        <v>280000000</v>
      </c>
      <c r="F12" s="47">
        <f>IF($E$18&gt;0, E12/$E$18, 0)</f>
        <v/>
      </c>
      <c r="G12" s="30" t="inlineStr">
        <is>
          <t>Baja (Iliquidez alta)</t>
        </is>
      </c>
    </row>
    <row r="13" ht="21" customHeight="1">
      <c r="B13" s="11" t="inlineStr">
        <is>
          <t>Bienes Raíces</t>
        </is>
      </c>
      <c r="C13" s="11" t="inlineStr">
        <is>
          <t>Propiedades de Inversión</t>
        </is>
      </c>
      <c r="D13" s="11" t="inlineStr">
        <is>
          <t>Inmueble arrendado generador de rentas</t>
        </is>
      </c>
      <c r="E13" s="46" t="n">
        <v>120000000</v>
      </c>
      <c r="F13" s="48">
        <f>IF($E$18&gt;0, E13/$E$18, 0)</f>
        <v/>
      </c>
      <c r="G13" s="29" t="inlineStr">
        <is>
          <t>Baja (Iliquidez alta)</t>
        </is>
      </c>
    </row>
    <row r="14" ht="21" customHeight="1">
      <c r="B14" s="8" t="inlineStr">
        <is>
          <t>Activo de Negocio</t>
        </is>
      </c>
      <c r="C14" s="8" t="inlineStr">
        <is>
          <t>Capital en Negocio / Empresa</t>
        </is>
      </c>
      <c r="D14" s="8" t="inlineStr">
        <is>
          <t>Participación patrimonial y activos operativos en negocio</t>
        </is>
      </c>
      <c r="E14" s="46" t="n">
        <v>45000000</v>
      </c>
      <c r="F14" s="47">
        <f>IF($E$18&gt;0, E14/$E$18, 0)</f>
        <v/>
      </c>
      <c r="G14" s="30" t="inlineStr">
        <is>
          <t>Media / Variable</t>
        </is>
      </c>
    </row>
    <row r="15" ht="21" customHeight="1">
      <c r="B15" s="11" t="inlineStr">
        <is>
          <t>Activo de Negocio</t>
        </is>
      </c>
      <c r="C15" s="11" t="inlineStr">
        <is>
          <t>Equipos y Tecnología</t>
        </is>
      </c>
      <c r="D15" s="11" t="inlineStr">
        <is>
          <t>Computadores, herramientas profesionales y maquinaria</t>
        </is>
      </c>
      <c r="E15" s="46" t="n">
        <v>12000000</v>
      </c>
      <c r="F15" s="48">
        <f>IF($E$18&gt;0, E15/$E$18, 0)</f>
        <v/>
      </c>
      <c r="G15" s="29" t="inlineStr">
        <is>
          <t>Baja (Depreciable)</t>
        </is>
      </c>
    </row>
    <row r="16" ht="21" customHeight="1">
      <c r="B16" s="8" t="inlineStr">
        <is>
          <t>Otros Activos</t>
        </is>
      </c>
      <c r="C16" s="8" t="inlineStr">
        <is>
          <t>Vehículos</t>
        </is>
      </c>
      <c r="D16" s="8" t="inlineStr">
        <is>
          <t>Automóvil de uso familiar</t>
        </is>
      </c>
      <c r="E16" s="46" t="n">
        <v>38000000</v>
      </c>
      <c r="F16" s="47">
        <f>IF($E$18&gt;0, E16/$E$18, 0)</f>
        <v/>
      </c>
      <c r="G16" s="30" t="inlineStr">
        <is>
          <t>Media (Depreciable)</t>
        </is>
      </c>
    </row>
    <row r="17" ht="21" customHeight="1">
      <c r="B17" s="11" t="inlineStr">
        <is>
          <t>Otros Activos</t>
        </is>
      </c>
      <c r="C17" s="11" t="inlineStr">
        <is>
          <t>Bienes de Alto Valor</t>
        </is>
      </c>
      <c r="D17" s="11" t="inlineStr">
        <is>
          <t>Joyas, arte, mobiliario y otros enseres</t>
        </is>
      </c>
      <c r="E17" s="46" t="n">
        <v>8000000</v>
      </c>
      <c r="F17" s="48">
        <f>IF($E$18&gt;0, E17/$E$18, 0)</f>
        <v/>
      </c>
      <c r="G17" s="29" t="inlineStr">
        <is>
          <t>Baja</t>
        </is>
      </c>
    </row>
    <row r="18" ht="24" customHeight="1">
      <c r="B18" s="49" t="inlineStr">
        <is>
          <t>TOTAL ACTIVOS VALORADOS ($):</t>
        </is>
      </c>
      <c r="C18" s="32" t="n"/>
      <c r="D18" s="32" t="n"/>
      <c r="E18" s="50">
        <f>SUM(E8:E17)</f>
        <v/>
      </c>
      <c r="F18" s="51">
        <f>SUM(F8:F17)</f>
        <v/>
      </c>
      <c r="G18" s="52" t="inlineStr"/>
    </row>
    <row r="20" ht="24" customHeight="1">
      <c r="B20" s="4" t="inlineStr">
        <is>
          <t>2. ESTRUCTURA INTEGRAL DE PASIVOS (LO QUE DEBES)</t>
        </is>
      </c>
      <c r="C20" s="5" t="n"/>
      <c r="D20" s="5" t="n"/>
      <c r="E20" s="5" t="n"/>
      <c r="F20" s="5" t="n"/>
      <c r="G20" s="5" t="n"/>
    </row>
    <row r="21" ht="20" customHeight="1">
      <c r="B21" s="26" t="inlineStr">
        <is>
          <t>Categoría de Pasivo</t>
        </is>
      </c>
      <c r="C21" s="26" t="inlineStr">
        <is>
          <t>Tipo de Obligación</t>
        </is>
      </c>
      <c r="D21" s="26" t="inlineStr">
        <is>
          <t>Acreedor / Entidad Financiera</t>
        </is>
      </c>
      <c r="E21" s="26" t="inlineStr">
        <is>
          <t>Saldo Pendiente ($)</t>
        </is>
      </c>
      <c r="F21" s="26" t="inlineStr">
        <is>
          <t>% Participación</t>
        </is>
      </c>
      <c r="G21" s="26" t="inlineStr">
        <is>
          <t>Tasa Anual (TEA %)</t>
        </is>
      </c>
    </row>
    <row r="22" ht="21" customHeight="1">
      <c r="B22" s="8" t="inlineStr">
        <is>
          <t>Pasivo Corto Plazo</t>
        </is>
      </c>
      <c r="C22" s="8" t="inlineStr">
        <is>
          <t>Tarjetas de Crédito</t>
        </is>
      </c>
      <c r="D22" s="8" t="inlineStr">
        <is>
          <t>Banco Principal (Saldo revolvente)</t>
        </is>
      </c>
      <c r="E22" s="46" t="n">
        <v>3200000</v>
      </c>
      <c r="F22" s="47">
        <f>IF($E$29&gt;0, E22/$E$29, 0)</f>
        <v/>
      </c>
      <c r="G22" s="53" t="n">
        <v>0.285</v>
      </c>
    </row>
    <row r="23" ht="21" customHeight="1">
      <c r="B23" s="11" t="inlineStr">
        <is>
          <t>Pasivo Corto Plazo</t>
        </is>
      </c>
      <c r="C23" s="11" t="inlineStr">
        <is>
          <t>Crédito de Consumo</t>
        </is>
      </c>
      <c r="D23" s="11" t="inlineStr">
        <is>
          <t>Préstamo personal bancario</t>
        </is>
      </c>
      <c r="E23" s="46" t="n">
        <v>8500000</v>
      </c>
      <c r="F23" s="48">
        <f>IF($E$29&gt;0, E23/$E$29, 0)</f>
        <v/>
      </c>
      <c r="G23" s="53" t="n">
        <v>0.198</v>
      </c>
    </row>
    <row r="24" ht="21" customHeight="1">
      <c r="B24" s="8" t="inlineStr">
        <is>
          <t>Pasivo Corto Plazo</t>
        </is>
      </c>
      <c r="C24" s="8" t="inlineStr">
        <is>
          <t>Sobregiro / Crédito Rotativo</t>
        </is>
      </c>
      <c r="D24" s="8" t="inlineStr">
        <is>
          <t>Línea de crédito comercial</t>
        </is>
      </c>
      <c r="E24" s="46" t="n">
        <v>0</v>
      </c>
      <c r="F24" s="47">
        <f>IF($E$29&gt;0, E24/$E$29, 0)</f>
        <v/>
      </c>
      <c r="G24" s="53" t="n">
        <v>0.26</v>
      </c>
    </row>
    <row r="25" ht="21" customHeight="1">
      <c r="B25" s="11" t="inlineStr">
        <is>
          <t>Pasivo Largo Plazo</t>
        </is>
      </c>
      <c r="C25" s="11" t="inlineStr">
        <is>
          <t>Crédito Hipotecario</t>
        </is>
      </c>
      <c r="D25" s="11" t="inlineStr">
        <is>
          <t>Banco Hipotecario (Vivienda principal)</t>
        </is>
      </c>
      <c r="E25" s="46" t="n">
        <v>115000000</v>
      </c>
      <c r="F25" s="48">
        <f>IF($E$29&gt;0, E25/$E$29, 0)</f>
        <v/>
      </c>
      <c r="G25" s="53" t="n">
        <v>0.125</v>
      </c>
    </row>
    <row r="26" ht="21" customHeight="1">
      <c r="B26" s="8" t="inlineStr">
        <is>
          <t>Pasivo Largo Plazo</t>
        </is>
      </c>
      <c r="C26" s="8" t="inlineStr">
        <is>
          <t>Crédito Inmobiliario Inversión</t>
        </is>
      </c>
      <c r="D26" s="8" t="inlineStr">
        <is>
          <t>Crédito sobre segunda propiedad</t>
        </is>
      </c>
      <c r="E26" s="46" t="n">
        <v>42000000</v>
      </c>
      <c r="F26" s="47">
        <f>IF($E$29&gt;0, E26/$E$29, 0)</f>
        <v/>
      </c>
      <c r="G26" s="53" t="n">
        <v>0.132</v>
      </c>
    </row>
    <row r="27" ht="21" customHeight="1">
      <c r="B27" s="11" t="inlineStr">
        <is>
          <t>Pasivo Largo Plazo</t>
        </is>
      </c>
      <c r="C27" s="11" t="inlineStr">
        <is>
          <t>Crédito Vehicular</t>
        </is>
      </c>
      <c r="D27" s="11" t="inlineStr">
        <is>
          <t>Financiera Automotriz</t>
        </is>
      </c>
      <c r="E27" s="46" t="n">
        <v>14000000</v>
      </c>
      <c r="F27" s="48">
        <f>IF($E$29&gt;0, E27/$E$29, 0)</f>
        <v/>
      </c>
      <c r="G27" s="53" t="n">
        <v>0.165</v>
      </c>
    </row>
    <row r="28" ht="21" customHeight="1">
      <c r="B28" s="8" t="inlineStr">
        <is>
          <t>Pasivo Largo Plazo</t>
        </is>
      </c>
      <c r="C28" s="8" t="inlineStr">
        <is>
          <t>Crédito Educativo</t>
        </is>
      </c>
      <c r="D28" s="8" t="inlineStr">
        <is>
          <t>Crédito posgrado / formación</t>
        </is>
      </c>
      <c r="E28" s="46" t="n">
        <v>6000000</v>
      </c>
      <c r="F28" s="47">
        <f>IF($E$29&gt;0, E28/$E$29, 0)</f>
        <v/>
      </c>
      <c r="G28" s="53" t="n">
        <v>0.095</v>
      </c>
    </row>
    <row r="29" ht="24" customHeight="1">
      <c r="B29" s="49" t="inlineStr">
        <is>
          <t>TOTAL PASIVOS PENDIENTES ($):</t>
        </is>
      </c>
      <c r="C29" s="32" t="n"/>
      <c r="D29" s="32" t="n"/>
      <c r="E29" s="50">
        <f>SUM(E22:E28)</f>
        <v/>
      </c>
      <c r="F29" s="51">
        <f>SUM(F22:F28)</f>
        <v/>
      </c>
      <c r="G29" s="52" t="inlineStr"/>
    </row>
    <row r="31" ht="24" customHeight="1">
      <c r="B31" s="4" t="inlineStr">
        <is>
          <t>3. INDICADORES PATRIMONIALES Y RATIOS DE SOLVENCIA</t>
        </is>
      </c>
      <c r="C31" s="5" t="n"/>
      <c r="D31" s="5" t="n"/>
      <c r="E31" s="5" t="n"/>
      <c r="F31" s="5" t="n"/>
      <c r="G31" s="5" t="n"/>
    </row>
    <row r="32" ht="22" customHeight="1">
      <c r="B32" s="54" t="inlineStr">
        <is>
          <t>PATRIMONIO NETO TOTAL (Activos - Pasivos):</t>
        </is>
      </c>
      <c r="C32" s="55" t="n"/>
      <c r="D32" s="55" t="n"/>
      <c r="E32" s="56">
        <f>E18-E29</f>
        <v/>
      </c>
      <c r="F32" s="57" t="inlineStr">
        <is>
          <t>Riqueza neta total acumulada.</t>
        </is>
      </c>
      <c r="G32" s="55" t="n"/>
    </row>
    <row r="33" ht="22" customHeight="1">
      <c r="B33" s="35" t="inlineStr">
        <is>
          <t>PATRIMONIO NETO LÍQUIDO (Líquido + Inversiones - Deuda CP):</t>
        </is>
      </c>
      <c r="C33" s="10" t="n"/>
      <c r="D33" s="10" t="n"/>
      <c r="E33" s="58">
        <f>(E8+E9+E10+E11)-(E22+E23+E24)</f>
        <v/>
      </c>
      <c r="F33" s="18" t="inlineStr">
        <is>
          <t>Riqueza neta disponible a corto/mediano plazo.</t>
        </is>
      </c>
      <c r="G33" s="10" t="n"/>
    </row>
    <row r="34" ht="22" customHeight="1">
      <c r="B34" s="54" t="inlineStr">
        <is>
          <t>RATIO DE APALANCAMIENTO (Pasivo / Activo):</t>
        </is>
      </c>
      <c r="C34" s="55" t="n"/>
      <c r="D34" s="55" t="n"/>
      <c r="E34" s="59">
        <f>IF(E18&gt;0, E29/E18, 0)</f>
        <v/>
      </c>
      <c r="F34" s="57" t="inlineStr">
        <is>
          <t>Nivel de deuda sobre activos (Óptimo &lt; 40%).</t>
        </is>
      </c>
      <c r="G34" s="55" t="n"/>
    </row>
    <row r="35" ht="22" customHeight="1">
      <c r="B35" s="35" t="inlineStr">
        <is>
          <t>FONDO DE RESERVA Y EMERGENCIA LÍQUIDO ($):</t>
        </is>
      </c>
      <c r="C35" s="10" t="n"/>
      <c r="D35" s="10" t="n"/>
      <c r="E35" s="58">
        <f>E8+E9</f>
        <v/>
      </c>
      <c r="F35" s="18" t="inlineStr">
        <is>
          <t>Efectivo disponible para imprevistos.</t>
        </is>
      </c>
      <c r="G35" s="10" t="n"/>
    </row>
    <row r="36" ht="22" customHeight="1">
      <c r="B36" s="54" t="inlineStr">
        <is>
          <t>MESES DE COBERTURA DE EMERGENCIA:</t>
        </is>
      </c>
      <c r="C36" s="55" t="n"/>
      <c r="D36" s="55" t="n"/>
      <c r="E36" s="60">
        <f>IFERROR((E8+E9)/'04_Presupuesto_Inteligente'!F23, 0)</f>
        <v/>
      </c>
      <c r="F36" s="57" t="inlineStr">
        <is>
          <t>Meses de gastos esenciales (Necesidades reales) cubiertos con liquidez (Meta: 3 a 6 meses).</t>
        </is>
      </c>
      <c r="G36" s="55" t="n"/>
    </row>
    <row r="38" ht="45" customHeight="1">
      <c r="B38" s="36">
        <f>"DIAGNÓSTICO PATRIMONIAL DIRECTIVO: Cuentas con un Patrimonio Neto de " &amp; TEXT(E32,"$#,##0") &amp; " y un apalancamiento del " &amp; TEXT(E34,"0.0%") &amp; ". Tu fondo de emergencia cubre " &amp; TEXT(E36,"0.0") &amp; " meses de gastos. PRE-ANÁLISIS: " &amp; IF(E34&gt;0.5,"⚠️ ALTO ENDEUDAMIENTO: Tu nivel de deuda supera el 50% de tus activos. Detén el endeudamiento adicional y enfócate en pagar pasivos.",IF(E36&lt;3,"⚠️ RESERVA AJUSTADA: Tu fondo de emergencia es inferior a 3 meses. Asigna liquidez prioritaria a tu cuenta de ahorros antes de hacer inversiones ilíquidas.","✅ ESTRUCTURA SÓLIDA: Cuentas con excelente cobertura de liquidez y solvencia para continuar acumulando activos productivos."))</f>
        <v/>
      </c>
    </row>
  </sheetData>
  <mergeCells count="21">
    <mergeCell ref="B2:G2"/>
    <mergeCell ref="F34:G34"/>
    <mergeCell ref="B1:G1"/>
    <mergeCell ref="B29:D29"/>
    <mergeCell ref="B34:D34"/>
    <mergeCell ref="B38:G38"/>
    <mergeCell ref="F33:G33"/>
    <mergeCell ref="F36:G36"/>
    <mergeCell ref="F32:G32"/>
    <mergeCell ref="F35:G35"/>
    <mergeCell ref="B6:G6"/>
    <mergeCell ref="B33:D33"/>
    <mergeCell ref="B20:G20"/>
    <mergeCell ref="B36:D36"/>
    <mergeCell ref="B5:G5"/>
    <mergeCell ref="B32:D32"/>
    <mergeCell ref="B35:D35"/>
    <mergeCell ref="B4:G4"/>
    <mergeCell ref="B3:G3"/>
    <mergeCell ref="B31:G31"/>
    <mergeCell ref="B18:D18"/>
  </mergeCell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DOC-KF-03 | Versión: 3.0&amp;RPágina &amp;P de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B1:O104"/>
  <sheetViews>
    <sheetView showGridLines="0" view="pageLayout" workbookViewId="0">
      <selection activeCell="A1" sqref="A1"/>
    </sheetView>
  </sheetViews>
  <sheetFormatPr baseColWidth="8" defaultRowHeight="15"/>
  <cols>
    <col width="3" customWidth="1" min="1" max="1"/>
    <col width="9.5"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s>
  <sheetData>
    <row r="1" ht="30" customHeight="1">
      <c r="B1" s="1" t="inlineStr">
        <is>
          <t>GUÍA 2 · CÓMO DECIDIR EN QUÉ GASTAS Y CUÁNTO AHORRAS</t>
        </is>
      </c>
    </row>
    <row r="2" ht="22" customHeight="1">
      <c r="B2" s="2" t="inlineStr">
        <is>
          <t>Tres herramientas sencillas para decidir sin hojas de cálculo, en el momento en que estás por gastar.</t>
        </is>
      </c>
    </row>
    <row r="3" ht="8" customHeight="1">
      <c r="B3" s="3" t="n"/>
      <c r="C3" s="3" t="n"/>
      <c r="D3" s="3" t="n"/>
      <c r="E3" s="3" t="n"/>
      <c r="F3" s="3" t="n"/>
      <c r="G3" s="3" t="n"/>
      <c r="H3" s="3" t="n"/>
      <c r="I3" s="3" t="n"/>
      <c r="J3" s="3" t="n"/>
      <c r="K3" s="3" t="n"/>
      <c r="L3" s="3" t="n"/>
      <c r="M3" s="3" t="n"/>
      <c r="N3" s="3" t="n"/>
      <c r="O3" s="3" t="n"/>
    </row>
    <row r="5" ht="30" customHeight="1">
      <c r="B5" s="19" t="inlineStr">
        <is>
          <t>Herramienta 1 · La regla de los tres frascos. Así se reparte cada peso que entra, antes de gastarlo.</t>
        </is>
      </c>
    </row>
    <row r="37" ht="30" customHeight="1">
      <c r="B37" s="19" t="inlineStr">
        <is>
          <t>Herramienta 2 · Las cuatro preguntas. Úsala cuando estés a punto de comprar algo que no tenías planeado.</t>
        </is>
      </c>
    </row>
    <row r="74" ht="30" customHeight="1">
      <c r="B74" s="19" t="inlineStr">
        <is>
          <t>Herramienta 3 · Traduce el precio a horas de tu vida. Es la forma más rápida de frenar una compra impulsiva.</t>
        </is>
      </c>
    </row>
    <row r="104" ht="30" customHeight="1">
      <c r="B104" s="19" t="inlineStr">
        <is>
          <t>Siguiente paso: ve a la hoja «04_Presupuesto_Inteligente» y reparte tus ingresos reales en los tres frascos.</t>
        </is>
      </c>
    </row>
  </sheetData>
  <mergeCells count="6">
    <mergeCell ref="B74:O74"/>
    <mergeCell ref="B1:O1"/>
    <mergeCell ref="B2:O2"/>
    <mergeCell ref="B104:O104"/>
    <mergeCell ref="B5:O5"/>
    <mergeCell ref="B37:O37"/>
  </mergeCells>
  <pageMargins left="0.35" right="0.35" top="0.5" bottom="0.5" header="0.2" footer="0.2"/>
  <pageSetup orientation="landscape" paperSize="1" fitToHeight="0" fitToWidth="1"/>
  <headerFooter>
    <oddHeader/>
    <oddFooter>&amp;LKIT Financiero XPROF 3.0 - Guía visual&amp;RPágina &amp;P de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outlinePr summaryBelow="1" summaryRight="1"/>
    <pageSetUpPr fitToPage="1"/>
  </sheetPr>
  <dimension ref="B1:H45"/>
  <sheetViews>
    <sheetView showGridLines="0" view="pageLayout" workbookViewId="0">
      <selection activeCell="A1" sqref="A1"/>
    </sheetView>
  </sheetViews>
  <sheetFormatPr baseColWidth="8" defaultRowHeight="15"/>
  <cols>
    <col width="3" customWidth="1" min="1" max="1"/>
    <col width="24" customWidth="1" min="2" max="2"/>
    <col width="22" customWidth="1" min="3" max="3"/>
    <col width="30" customWidth="1" min="4" max="4"/>
    <col width="18" customWidth="1" min="5" max="5"/>
    <col width="18" customWidth="1" min="6" max="6"/>
    <col width="18" customWidth="1" min="7" max="7"/>
    <col width="22" customWidth="1" min="8" max="8"/>
  </cols>
  <sheetData>
    <row r="1" ht="24" customHeight="1">
      <c r="B1" s="20" t="inlineStr">
        <is>
          <t>METODOLOGÍA M.A.E.S.T.R.O. FINANCIERO XPROF</t>
        </is>
      </c>
    </row>
    <row r="2" ht="22" customHeight="1">
      <c r="B2" s="21" t="inlineStr">
        <is>
          <t>PRESUPUESTO MENSUAL DINÁMICO (50/30/20) Y DETECTOR DE GASTOS HORMIGA | Código: DOC-KF-04</t>
        </is>
      </c>
    </row>
    <row r="3" ht="30" customHeight="1">
      <c r="B3" s="22" t="inlineStr">
        <is>
          <t>Propósito: Planificar y controlar los ingresos y gastos mensuales por pilares estratégicos, eliminando fugas de capital y garantizando el ahorro.</t>
        </is>
      </c>
    </row>
    <row r="4" ht="18" customHeight="1">
      <c r="B4" s="23" t="inlineStr">
        <is>
          <t>Entidad Asesora: XPROF | Versión: 3.0 | Autor: Helman Carrillo | Válido para: Personas, Emprendedores y Familias</t>
        </is>
      </c>
    </row>
    <row r="5" ht="20" customHeight="1">
      <c r="B5" s="24" t="inlineStr">
        <is>
          <t>EN UNA FRASE:   Escribe cuánto entra y cuánto sale cada mes. Verás si te alcanza y por dónde se te fuga el dinero.</t>
        </is>
      </c>
      <c r="C5" s="25" t="n"/>
      <c r="D5" s="25" t="n"/>
      <c r="E5" s="25" t="n"/>
      <c r="F5" s="25" t="n"/>
      <c r="G5" s="25" t="n"/>
      <c r="H5" s="25" t="n"/>
    </row>
    <row r="6" ht="24" customHeight="1">
      <c r="B6" s="4" t="inlineStr">
        <is>
          <t>1. INGRESOS MENSUALES NETOS DISPONIBLES</t>
        </is>
      </c>
      <c r="C6" s="5" t="n"/>
      <c r="D6" s="5" t="n"/>
      <c r="E6" s="5" t="n"/>
      <c r="F6" s="5" t="n"/>
      <c r="G6" s="5" t="n"/>
      <c r="H6" s="5" t="n"/>
    </row>
    <row r="7" ht="20" customHeight="1">
      <c r="B7" s="26" t="inlineStr">
        <is>
          <t>Tipo de Ingreso</t>
        </is>
      </c>
      <c r="C7" s="26" t="inlineStr">
        <is>
          <t>Fuente / Concepto</t>
        </is>
      </c>
      <c r="D7" s="26" t="n"/>
      <c r="E7" s="26" t="inlineStr">
        <is>
          <t>Proyectado ($)</t>
        </is>
      </c>
      <c r="F7" s="26" t="inlineStr">
        <is>
          <t>Real Recibido ($)</t>
        </is>
      </c>
      <c r="G7" s="26" t="inlineStr">
        <is>
          <t>Variación ($)</t>
        </is>
      </c>
      <c r="H7" s="26" t="inlineStr">
        <is>
          <t>Cumplimiento %</t>
        </is>
      </c>
    </row>
    <row r="8" ht="21" customHeight="1">
      <c r="B8" s="8" t="inlineStr">
        <is>
          <t>Ingreso Principal</t>
        </is>
      </c>
      <c r="C8" s="8" t="inlineStr">
        <is>
          <t>Salario Neto / Honorarios Profesionales Fijos</t>
        </is>
      </c>
      <c r="D8" s="27" t="n"/>
      <c r="E8" s="61" t="n">
        <v>12000000</v>
      </c>
      <c r="F8" s="46" t="n">
        <v>12000000</v>
      </c>
      <c r="G8" s="62">
        <f>F8-E8</f>
        <v/>
      </c>
      <c r="H8" s="47">
        <f>IF(E8&gt;0, F8/E8, 0)</f>
        <v/>
      </c>
    </row>
    <row r="9" ht="21" customHeight="1">
      <c r="B9" s="11" t="inlineStr">
        <is>
          <t>Ingreso de Negocio</t>
        </is>
      </c>
      <c r="C9" s="11" t="inlineStr">
        <is>
          <t>Utilidades / Dividendos de Emprendimiento</t>
        </is>
      </c>
      <c r="D9" s="28" t="n"/>
      <c r="E9" s="61" t="n">
        <v>5000000</v>
      </c>
      <c r="F9" s="46" t="n">
        <v>5800000</v>
      </c>
      <c r="G9" s="63">
        <f>F9-E9</f>
        <v/>
      </c>
      <c r="H9" s="48">
        <f>IF(E9&gt;0, F9/E9, 0)</f>
        <v/>
      </c>
    </row>
    <row r="10" ht="21" customHeight="1">
      <c r="B10" s="8" t="inlineStr">
        <is>
          <t>Ingreso Pasivo</t>
        </is>
      </c>
      <c r="C10" s="8" t="inlineStr">
        <is>
          <t>Rentas Inmobiliarias / Rendimientos de Inversión</t>
        </is>
      </c>
      <c r="D10" s="27" t="n"/>
      <c r="E10" s="61" t="n">
        <v>2500000</v>
      </c>
      <c r="F10" s="46" t="n">
        <v>2500000</v>
      </c>
      <c r="G10" s="62">
        <f>F10-E10</f>
        <v/>
      </c>
      <c r="H10" s="47">
        <f>IF(E10&gt;0, F10/E10, 0)</f>
        <v/>
      </c>
    </row>
    <row r="11" ht="21" customHeight="1">
      <c r="B11" s="11" t="inlineStr">
        <is>
          <t>Otros Ingresos</t>
        </is>
      </c>
      <c r="C11" s="11" t="inlineStr">
        <is>
          <t>Servicios de Consultoría Extra / Asesorías</t>
        </is>
      </c>
      <c r="D11" s="28" t="n"/>
      <c r="E11" s="61" t="n">
        <v>1500000</v>
      </c>
      <c r="F11" s="46" t="n">
        <v>1200000</v>
      </c>
      <c r="G11" s="63">
        <f>F11-E11</f>
        <v/>
      </c>
      <c r="H11" s="48">
        <f>IF(E11&gt;0, F11/E11, 0)</f>
        <v/>
      </c>
    </row>
    <row r="12" ht="24" customHeight="1">
      <c r="B12" s="49" t="inlineStr">
        <is>
          <t>TOTAL INGRESOS NETOS MENSUALES ($):</t>
        </is>
      </c>
      <c r="C12" s="32" t="n"/>
      <c r="D12" s="32" t="n"/>
      <c r="E12" s="50">
        <f>SUM(E8:E11)</f>
        <v/>
      </c>
      <c r="F12" s="50">
        <f>SUM(F8:F11)</f>
        <v/>
      </c>
      <c r="G12" s="64">
        <f>F12-E12</f>
        <v/>
      </c>
      <c r="H12" s="51">
        <f>IF(E12&gt;0, F12/E12, 0)</f>
        <v/>
      </c>
    </row>
    <row r="14" ht="24" customHeight="1">
      <c r="B14" s="4" t="inlineStr">
        <is>
          <t>2. ESTRUCTURA DE GASTOS BAJO EL MODELO 50/30/20 (PROYECTADO VS REAL)</t>
        </is>
      </c>
      <c r="C14" s="5" t="n"/>
      <c r="D14" s="5" t="n"/>
      <c r="E14" s="5" t="n"/>
      <c r="F14" s="5" t="n"/>
      <c r="G14" s="5" t="n"/>
      <c r="H14" s="5" t="n"/>
    </row>
    <row r="15" ht="20" customHeight="1">
      <c r="B15" s="26" t="inlineStr">
        <is>
          <t>Pilar 50/30/20</t>
        </is>
      </c>
      <c r="C15" s="26" t="inlineStr">
        <is>
          <t>Categoría de Gasto</t>
        </is>
      </c>
      <c r="D15" s="26" t="inlineStr">
        <is>
          <t>Concepto / Ítem Específico</t>
        </is>
      </c>
      <c r="E15" s="26" t="inlineStr">
        <is>
          <t>Proyectado ($)</t>
        </is>
      </c>
      <c r="F15" s="26" t="inlineStr">
        <is>
          <t>Real Ejecutado ($)</t>
        </is>
      </c>
      <c r="G15" s="26" t="inlineStr">
        <is>
          <t>Desviación ($)</t>
        </is>
      </c>
      <c r="H15" s="26" t="inlineStr">
        <is>
          <t>Pre-Análisis</t>
        </is>
      </c>
    </row>
    <row r="16" ht="21" customHeight="1">
      <c r="B16" s="30" t="inlineStr">
        <is>
          <t>50% NECESIDADES</t>
        </is>
      </c>
      <c r="C16" s="8" t="inlineStr">
        <is>
          <t>Vivienda</t>
        </is>
      </c>
      <c r="D16" s="8" t="inlineStr">
        <is>
          <t>Cuota hipotecaria / Arriendo mensual</t>
        </is>
      </c>
      <c r="E16" s="61" t="n">
        <v>3500000</v>
      </c>
      <c r="F16" s="61" t="n">
        <v>3500000</v>
      </c>
      <c r="G16" s="62">
        <f>F16-E16</f>
        <v/>
      </c>
      <c r="H16" s="30">
        <f>IF(G16&gt;0,"⚠️ Sobregasto",IF(G16&lt;0,"✅ Ahorro en Gasto","⚖️ En Presupuesto"))</f>
        <v/>
      </c>
    </row>
    <row r="17" ht="21" customHeight="1">
      <c r="B17" s="29" t="inlineStr">
        <is>
          <t>50% NECESIDADES</t>
        </is>
      </c>
      <c r="C17" s="11" t="inlineStr">
        <is>
          <t>Servicios Públicos</t>
        </is>
      </c>
      <c r="D17" s="11" t="inlineStr">
        <is>
          <t>Energía, agua, gas, internet y telefonía</t>
        </is>
      </c>
      <c r="E17" s="61" t="n">
        <v>850000</v>
      </c>
      <c r="F17" s="61" t="n">
        <v>920000</v>
      </c>
      <c r="G17" s="63">
        <f>F17-E17</f>
        <v/>
      </c>
      <c r="H17" s="29">
        <f>IF(G17&gt;0,"⚠️ Sobregasto",IF(G17&lt;0,"✅ Ahorro en Gasto","⚖️ En Presupuesto"))</f>
        <v/>
      </c>
    </row>
    <row r="18" ht="21" customHeight="1">
      <c r="B18" s="30" t="inlineStr">
        <is>
          <t>50% NECESIDADES</t>
        </is>
      </c>
      <c r="C18" s="8" t="inlineStr">
        <is>
          <t>Alimentación</t>
        </is>
      </c>
      <c r="D18" s="8" t="inlineStr">
        <is>
          <t>Mercado básico familiar y despensa</t>
        </is>
      </c>
      <c r="E18" s="61" t="n">
        <v>2200000</v>
      </c>
      <c r="F18" s="61" t="n">
        <v>2450000</v>
      </c>
      <c r="G18" s="62">
        <f>F18-E18</f>
        <v/>
      </c>
      <c r="H18" s="30">
        <f>IF(G18&gt;0,"⚠️ Sobregasto",IF(G18&lt;0,"✅ Ahorro en Gasto","⚖️ En Presupuesto"))</f>
        <v/>
      </c>
    </row>
    <row r="19" ht="21" customHeight="1">
      <c r="B19" s="29" t="inlineStr">
        <is>
          <t>50% NECESIDADES</t>
        </is>
      </c>
      <c r="C19" s="11" t="inlineStr">
        <is>
          <t>Transporte</t>
        </is>
      </c>
      <c r="D19" s="11" t="inlineStr">
        <is>
          <t>Combustible, mantenimiento y transporte público</t>
        </is>
      </c>
      <c r="E19" s="61" t="n">
        <v>900000</v>
      </c>
      <c r="F19" s="61" t="n">
        <v>850000</v>
      </c>
      <c r="G19" s="63">
        <f>F19-E19</f>
        <v/>
      </c>
      <c r="H19" s="29">
        <f>IF(G19&gt;0,"⚠️ Sobregasto",IF(G19&lt;0,"✅ Ahorro en Gasto","⚖️ En Presupuesto"))</f>
        <v/>
      </c>
    </row>
    <row r="20" ht="21" customHeight="1">
      <c r="B20" s="30" t="inlineStr">
        <is>
          <t>50% NECESIDADES</t>
        </is>
      </c>
      <c r="C20" s="8" t="inlineStr">
        <is>
          <t>Salud y Seguros</t>
        </is>
      </c>
      <c r="D20" s="8" t="inlineStr">
        <is>
          <t>Medicina prepagada, seguros de vida y pólizas</t>
        </is>
      </c>
      <c r="E20" s="61" t="n">
        <v>1100000</v>
      </c>
      <c r="F20" s="61" t="n">
        <v>1100000</v>
      </c>
      <c r="G20" s="62">
        <f>F20-E20</f>
        <v/>
      </c>
      <c r="H20" s="30">
        <f>IF(G20&gt;0,"⚠️ Sobregasto",IF(G20&lt;0,"✅ Ahorro en Gasto","⚖️ En Presupuesto"))</f>
        <v/>
      </c>
    </row>
    <row r="21" ht="21" customHeight="1">
      <c r="B21" s="29" t="inlineStr">
        <is>
          <t>50% NECESIDADES</t>
        </is>
      </c>
      <c r="C21" s="11" t="inlineStr">
        <is>
          <t>Educación Básica</t>
        </is>
      </c>
      <c r="D21" s="11" t="inlineStr">
        <is>
          <t>Colegio / Universidad básica de hijos</t>
        </is>
      </c>
      <c r="E21" s="61" t="n">
        <v>1200000</v>
      </c>
      <c r="F21" s="61" t="n">
        <v>1200000</v>
      </c>
      <c r="G21" s="63">
        <f>F21-E21</f>
        <v/>
      </c>
      <c r="H21" s="29">
        <f>IF(G21&gt;0,"⚠️ Sobregasto",IF(G21&lt;0,"✅ Ahorro en Gasto","⚖️ En Presupuesto"))</f>
        <v/>
      </c>
    </row>
    <row r="22" ht="21" customHeight="1">
      <c r="B22" s="30" t="inlineStr">
        <is>
          <t>50% NECESIDADES</t>
        </is>
      </c>
      <c r="C22" s="8" t="inlineStr">
        <is>
          <t>Obligaciones Financieras</t>
        </is>
      </c>
      <c r="D22" s="8" t="inlineStr">
        <is>
          <t>Cuotas mínimas de préstamos vigentes</t>
        </is>
      </c>
      <c r="E22" s="61" t="n">
        <v>1000000</v>
      </c>
      <c r="F22" s="61" t="n">
        <v>1000000</v>
      </c>
      <c r="G22" s="62">
        <f>F22-E22</f>
        <v/>
      </c>
      <c r="H22" s="30">
        <f>IF(G22&gt;0,"⚠️ Sobregasto",IF(G22&lt;0,"✅ Ahorro en Gasto","⚖️ En Presupuesto"))</f>
        <v/>
      </c>
    </row>
    <row r="23" ht="22" customHeight="1">
      <c r="B23" s="31" t="inlineStr">
        <is>
          <t>SUBTOTAL NECESIDADES (Meta: &lt;= 50% de Ingresos):</t>
        </is>
      </c>
      <c r="C23" s="32" t="n"/>
      <c r="D23" s="32" t="n"/>
      <c r="E23" s="64">
        <f>SUM(E16:E22)</f>
        <v/>
      </c>
      <c r="F23" s="64">
        <f>SUM(F16:F22)</f>
        <v/>
      </c>
      <c r="G23" s="64">
        <f>F23-E23</f>
        <v/>
      </c>
      <c r="H23" s="51">
        <f>IF($F$12&gt;0, F23/$F$12, 0)</f>
        <v/>
      </c>
    </row>
    <row r="24" ht="21" customHeight="1">
      <c r="B24" s="30" t="inlineStr">
        <is>
          <t>30% DESEOS</t>
        </is>
      </c>
      <c r="C24" s="8" t="inlineStr">
        <is>
          <t>Restaurantes y Salidas</t>
        </is>
      </c>
      <c r="D24" s="8" t="inlineStr">
        <is>
          <t>Comidas fuera, cafés, cenas de fin de semana</t>
        </is>
      </c>
      <c r="E24" s="61" t="n">
        <v>1500000</v>
      </c>
      <c r="F24" s="61" t="n">
        <v>1850000</v>
      </c>
      <c r="G24" s="62">
        <f>F24-E24</f>
        <v/>
      </c>
      <c r="H24" s="30">
        <f>IF(G24&gt;0,"⚠️ Exceso de Deseo",IF(G24&lt;0,"✅ Ahorro en Deseo","⚖️ En Presupuesto"))</f>
        <v/>
      </c>
    </row>
    <row r="25" ht="21" customHeight="1">
      <c r="B25" s="29" t="inlineStr">
        <is>
          <t>30% DESEOS</t>
        </is>
      </c>
      <c r="C25" s="11" t="inlineStr">
        <is>
          <t>Ocio y Streaming</t>
        </is>
      </c>
      <c r="D25" s="11" t="inlineStr">
        <is>
          <t>Netflix, Spotify, cine, suscripciones digitales</t>
        </is>
      </c>
      <c r="E25" s="61" t="n">
        <v>350000</v>
      </c>
      <c r="F25" s="61" t="n">
        <v>380000</v>
      </c>
      <c r="G25" s="63">
        <f>F25-E25</f>
        <v/>
      </c>
      <c r="H25" s="29">
        <f>IF(G25&gt;0,"⚠️ Exceso de Deseo",IF(G25&lt;0,"✅ Ahorro en Deseo","⚖️ En Presupuesto"))</f>
        <v/>
      </c>
    </row>
    <row r="26" ht="21" customHeight="1">
      <c r="B26" s="30" t="inlineStr">
        <is>
          <t>30% DESEOS</t>
        </is>
      </c>
      <c r="C26" s="8" t="inlineStr">
        <is>
          <t>Cuidado Personal y Ropa</t>
        </is>
      </c>
      <c r="D26" s="8" t="inlineStr">
        <is>
          <t>Vestuario, peluquería, spa y accesorios</t>
        </is>
      </c>
      <c r="E26" s="61" t="n">
        <v>800000</v>
      </c>
      <c r="F26" s="61" t="n">
        <v>750000</v>
      </c>
      <c r="G26" s="62">
        <f>F26-E26</f>
        <v/>
      </c>
      <c r="H26" s="30">
        <f>IF(G26&gt;0,"⚠️ Exceso de Deseo",IF(G26&lt;0,"✅ Ahorro en Deseo","⚖️ En Presupuesto"))</f>
        <v/>
      </c>
    </row>
    <row r="27" ht="21" customHeight="1">
      <c r="B27" s="29" t="inlineStr">
        <is>
          <t>30% DESEOS</t>
        </is>
      </c>
      <c r="C27" s="11" t="inlineStr">
        <is>
          <t>Viajes y Vacaciones</t>
        </is>
      </c>
      <c r="D27" s="11" t="inlineStr">
        <is>
          <t>Ahorro programado mensual para viajes</t>
        </is>
      </c>
      <c r="E27" s="61" t="n">
        <v>1200000</v>
      </c>
      <c r="F27" s="61" t="n">
        <v>1200000</v>
      </c>
      <c r="G27" s="63">
        <f>F27-E27</f>
        <v/>
      </c>
      <c r="H27" s="29">
        <f>IF(G27&gt;0,"⚠️ Exceso de Deseo",IF(G27&lt;0,"✅ Ahorro en Deseo","⚖️ En Presupuesto"))</f>
        <v/>
      </c>
    </row>
    <row r="28" ht="21" customHeight="1">
      <c r="B28" s="30" t="inlineStr">
        <is>
          <t>30% DESEOS</t>
        </is>
      </c>
      <c r="C28" s="8" t="inlineStr">
        <is>
          <t>Hobbies y Entretenimiento</t>
        </is>
      </c>
      <c r="D28" s="8" t="inlineStr">
        <is>
          <t>Deportes, eventos culturales y cursos recreativos</t>
        </is>
      </c>
      <c r="E28" s="61" t="n">
        <v>600000</v>
      </c>
      <c r="F28" s="61" t="n">
        <v>650000</v>
      </c>
      <c r="G28" s="62">
        <f>F28-E28</f>
        <v/>
      </c>
      <c r="H28" s="30">
        <f>IF(G28&gt;0,"⚠️ Exceso de Deseo",IF(G28&lt;0,"✅ Ahorro en Deseo","⚖️ En Presupuesto"))</f>
        <v/>
      </c>
    </row>
    <row r="29" ht="22" customHeight="1">
      <c r="B29" s="31" t="inlineStr">
        <is>
          <t>SUBTOTAL DESEOS (Meta: &lt;= 30% de Ingresos):</t>
        </is>
      </c>
      <c r="C29" s="32" t="n"/>
      <c r="D29" s="32" t="n"/>
      <c r="E29" s="64">
        <f>SUM(E24:E28)</f>
        <v/>
      </c>
      <c r="F29" s="64">
        <f>SUM(F24:F28)</f>
        <v/>
      </c>
      <c r="G29" s="64">
        <f>F29-E29</f>
        <v/>
      </c>
      <c r="H29" s="51">
        <f>IF($F$12&gt;0, F29/$F$12, 0)</f>
        <v/>
      </c>
    </row>
    <row r="30" ht="21" customHeight="1">
      <c r="B30" s="30" t="inlineStr">
        <is>
          <t>20% AHORRO / INVERSIÓN</t>
        </is>
      </c>
      <c r="C30" s="8" t="inlineStr">
        <is>
          <t>Fondo de Emergencia</t>
        </is>
      </c>
      <c r="D30" s="8" t="inlineStr">
        <is>
          <t>Aporte mensual de capitalización de reserva</t>
        </is>
      </c>
      <c r="E30" s="61" t="n">
        <v>1500000</v>
      </c>
      <c r="F30" s="61" t="n">
        <v>1500000</v>
      </c>
      <c r="G30" s="62">
        <f>F30-E30</f>
        <v/>
      </c>
      <c r="H30" s="30">
        <f>IF(G30&gt;0,"🌟 Superávit Invertido",IF(G30&lt;0,"⚠️ Meta Incompleta","✅ Meta Cumplida"))</f>
        <v/>
      </c>
    </row>
    <row r="31" ht="21" customHeight="1">
      <c r="B31" s="29" t="inlineStr">
        <is>
          <t>20% AHORRO / INVERSIÓN</t>
        </is>
      </c>
      <c r="C31" s="11" t="inlineStr">
        <is>
          <t>Inversión a Largo Plazo</t>
        </is>
      </c>
      <c r="D31" s="11" t="inlineStr">
        <is>
          <t>Aporte a fondos indexados globales y ETFs</t>
        </is>
      </c>
      <c r="E31" s="61" t="n">
        <v>3500000</v>
      </c>
      <c r="F31" s="61" t="n">
        <v>3500000</v>
      </c>
      <c r="G31" s="63">
        <f>F31-E31</f>
        <v/>
      </c>
      <c r="H31" s="29">
        <f>IF(G31&gt;0,"🌟 Superávit Invertido",IF(G31&lt;0,"⚠️ Meta Incompleta","✅ Meta Cumplida"))</f>
        <v/>
      </c>
    </row>
    <row r="32" ht="21" customHeight="1">
      <c r="B32" s="30" t="inlineStr">
        <is>
          <t>20% AHORRO / INVERSIÓN</t>
        </is>
      </c>
      <c r="C32" s="8" t="inlineStr">
        <is>
          <t>Amortización Extra de Deuda</t>
        </is>
      </c>
      <c r="D32" s="8" t="inlineStr">
        <is>
          <t>Abono adicional a capital de crédito de mayor tasa</t>
        </is>
      </c>
      <c r="E32" s="61" t="n">
        <v>1000000</v>
      </c>
      <c r="F32" s="61" t="n">
        <v>1200000</v>
      </c>
      <c r="G32" s="62">
        <f>F32-E32</f>
        <v/>
      </c>
      <c r="H32" s="30">
        <f>IF(G32&gt;0,"🌟 Superávit Invertido",IF(G32&lt;0,"⚠️ Meta Incompleta","✅ Meta Cumplida"))</f>
        <v/>
      </c>
    </row>
    <row r="33" ht="22" customHeight="1">
      <c r="B33" s="31" t="inlineStr">
        <is>
          <t>SUBTOTAL AHORRO E INVERSIÓN (Meta: &gt;= 20% de Ingresos):</t>
        </is>
      </c>
      <c r="C33" s="32" t="n"/>
      <c r="D33" s="32" t="n"/>
      <c r="E33" s="64">
        <f>SUM(E30:E32)</f>
        <v/>
      </c>
      <c r="F33" s="64">
        <f>SUM(F30:F32)</f>
        <v/>
      </c>
      <c r="G33" s="64">
        <f>F33-E33</f>
        <v/>
      </c>
      <c r="H33" s="51">
        <f>IF($F$12&gt;0, F33/$F$12, 0)</f>
        <v/>
      </c>
    </row>
    <row r="34" ht="22" customHeight="1">
      <c r="B34" s="40" t="inlineStr">
        <is>
          <t>TOTAL GASTOS Y ASIGNACIONES ($):</t>
        </is>
      </c>
      <c r="C34" s="7" t="n"/>
      <c r="D34" s="7" t="n"/>
      <c r="E34" s="65">
        <f>E23+E29+E33</f>
        <v/>
      </c>
      <c r="F34" s="65">
        <f>F23+F29+F33</f>
        <v/>
      </c>
      <c r="G34" s="65">
        <f>F34-E34</f>
        <v/>
      </c>
      <c r="H34" s="66">
        <f>IF($F$12&gt;0, F34/$F$12, 0)</f>
        <v/>
      </c>
    </row>
    <row r="35" ht="24" customHeight="1">
      <c r="B35" s="49" t="inlineStr">
        <is>
          <t>SUPERÁVIT / DÉFICIT MENSUAL FINAL ($):</t>
        </is>
      </c>
      <c r="C35" s="32" t="n"/>
      <c r="D35" s="32" t="n"/>
      <c r="E35" s="50">
        <f>E12-E34</f>
        <v/>
      </c>
      <c r="F35" s="50">
        <f>F12-F34</f>
        <v/>
      </c>
      <c r="G35" s="64">
        <f>F35-E35</f>
        <v/>
      </c>
      <c r="H35" s="34">
        <f>IF(F35&gt;=0,"🟢 SUPERÁVIT","🔴 DÉFICIT")</f>
        <v/>
      </c>
    </row>
    <row r="37" ht="24" customHeight="1">
      <c r="B37" s="4" t="inlineStr">
        <is>
          <t>3. DETECTOR Y CALCULADORA DE GASTOS HORMIGA &amp; VAMPIRO (COSTO DE OPORTUNIDAD A 10 AÑOS)</t>
        </is>
      </c>
      <c r="C37" s="5" t="n"/>
      <c r="D37" s="5" t="n"/>
      <c r="E37" s="5" t="n"/>
      <c r="F37" s="5" t="n"/>
      <c r="G37" s="5" t="n"/>
      <c r="H37" s="5" t="n"/>
    </row>
    <row r="38" ht="20" customHeight="1">
      <c r="B38" s="26" t="inlineStr">
        <is>
          <t>Tipo de Fuga</t>
        </is>
      </c>
      <c r="C38" s="26" t="inlineStr">
        <is>
          <t>Descripción del Gasto Invisible</t>
        </is>
      </c>
      <c r="D38" s="26" t="n"/>
      <c r="E38" s="26" t="inlineStr">
        <is>
          <t>Costo Unitario ($)</t>
        </is>
      </c>
      <c r="F38" s="26" t="inlineStr">
        <is>
          <t>Gasto Mensual ($)</t>
        </is>
      </c>
      <c r="G38" s="26" t="inlineStr">
        <is>
          <t>Fuga Anual ($)</t>
        </is>
      </c>
      <c r="H38" s="26" t="inlineStr">
        <is>
          <t>Costo 10 Años (8% TEA)</t>
        </is>
      </c>
    </row>
    <row r="39" ht="21" customHeight="1">
      <c r="B39" s="29" t="inlineStr">
        <is>
          <t>Gasto Hormiga</t>
        </is>
      </c>
      <c r="C39" s="11" t="inlineStr">
        <is>
          <t>Café especial y snacks diarios de paso</t>
        </is>
      </c>
      <c r="D39" s="28" t="n"/>
      <c r="E39" s="61" t="n">
        <v>12000</v>
      </c>
      <c r="F39" s="63">
        <f>E39*24</f>
        <v/>
      </c>
      <c r="G39" s="63">
        <f>F39*12</f>
        <v/>
      </c>
      <c r="H39" s="58">
        <f>G39*14.48656</f>
        <v/>
      </c>
    </row>
    <row r="40" ht="21" customHeight="1">
      <c r="B40" s="30" t="inlineStr">
        <is>
          <t>Gasto Hormiga</t>
        </is>
      </c>
      <c r="C40" s="8" t="inlineStr">
        <is>
          <t>Comidas pedidas por delivery por pereza de cocinar</t>
        </is>
      </c>
      <c r="D40" s="27" t="n"/>
      <c r="E40" s="61" t="n">
        <v>45000</v>
      </c>
      <c r="F40" s="62">
        <f>E40*8</f>
        <v/>
      </c>
      <c r="G40" s="62">
        <f>F40*12</f>
        <v/>
      </c>
      <c r="H40" s="65">
        <f>G40*14.48656</f>
        <v/>
      </c>
    </row>
    <row r="41" ht="21" customHeight="1">
      <c r="B41" s="29" t="inlineStr">
        <is>
          <t>Gasto Vampiro</t>
        </is>
      </c>
      <c r="C41" s="11" t="inlineStr">
        <is>
          <t>Suscripciones a apps y plataformas no utilizadas</t>
        </is>
      </c>
      <c r="D41" s="28" t="n"/>
      <c r="E41" s="61" t="n">
        <v>38000</v>
      </c>
      <c r="F41" s="63">
        <f>E41*3</f>
        <v/>
      </c>
      <c r="G41" s="63">
        <f>F41*12</f>
        <v/>
      </c>
      <c r="H41" s="58">
        <f>G41*14.48656</f>
        <v/>
      </c>
    </row>
    <row r="42" ht="21" customHeight="1">
      <c r="B42" s="30" t="inlineStr">
        <is>
          <t>Gasto Vampiro</t>
        </is>
      </c>
      <c r="C42" s="8" t="inlineStr">
        <is>
          <t>Comisiones bancarias por retiros o transferencias</t>
        </is>
      </c>
      <c r="D42" s="27" t="n"/>
      <c r="E42" s="61" t="n">
        <v>15000</v>
      </c>
      <c r="F42" s="62">
        <f>E42*4</f>
        <v/>
      </c>
      <c r="G42" s="62">
        <f>F42*12</f>
        <v/>
      </c>
      <c r="H42" s="65">
        <f>G42*14.48656</f>
        <v/>
      </c>
    </row>
    <row r="43" ht="21" customHeight="1">
      <c r="B43" s="29" t="inlineStr">
        <is>
          <t>Gasto Hormiga</t>
        </is>
      </c>
      <c r="C43" s="11" t="inlineStr">
        <is>
          <t>Compras compulsivas en tiendas o supermercado</t>
        </is>
      </c>
      <c r="D43" s="28" t="n"/>
      <c r="E43" s="61" t="n">
        <v>60000</v>
      </c>
      <c r="F43" s="63">
        <f>E43*4</f>
        <v/>
      </c>
      <c r="G43" s="63">
        <f>F43*12</f>
        <v/>
      </c>
      <c r="H43" s="58">
        <f>G43*14.48656</f>
        <v/>
      </c>
    </row>
    <row r="44" ht="21" customHeight="1">
      <c r="B44" s="30" t="inlineStr">
        <is>
          <t>Gasto Hormiga</t>
        </is>
      </c>
      <c r="C44" s="8" t="inlineStr">
        <is>
          <t>Transporte por aplicativo para distancias caminables</t>
        </is>
      </c>
      <c r="D44" s="27" t="n"/>
      <c r="E44" s="61" t="n">
        <v>22000</v>
      </c>
      <c r="F44" s="62">
        <f>E44*10</f>
        <v/>
      </c>
      <c r="G44" s="62">
        <f>F44*12</f>
        <v/>
      </c>
      <c r="H44" s="65">
        <f>G44*14.48656</f>
        <v/>
      </c>
    </row>
    <row r="45" ht="24" customHeight="1">
      <c r="B45" s="49" t="inlineStr">
        <is>
          <t>TOTAL CAPITAL FUGA ANUAL Y PATRIMONIO PERDIDO A 10 AÑOS:</t>
        </is>
      </c>
      <c r="C45" s="32" t="n"/>
      <c r="D45" s="32" t="n"/>
      <c r="E45" s="32" t="n"/>
      <c r="F45" s="50">
        <f>SUM(F39:F44)</f>
        <v/>
      </c>
      <c r="G45" s="50">
        <f>SUM(G39:G44)</f>
        <v/>
      </c>
      <c r="H45" s="50">
        <f>SUM(H39:H44)</f>
        <v/>
      </c>
    </row>
  </sheetData>
  <mergeCells count="27">
    <mergeCell ref="B23:D23"/>
    <mergeCell ref="C42:D42"/>
    <mergeCell ref="B6:H6"/>
    <mergeCell ref="B29:D29"/>
    <mergeCell ref="B5:H5"/>
    <mergeCell ref="B34:D34"/>
    <mergeCell ref="B45:E45"/>
    <mergeCell ref="C10:D10"/>
    <mergeCell ref="B4:H4"/>
    <mergeCell ref="C41:D41"/>
    <mergeCell ref="C44:D44"/>
    <mergeCell ref="C40:D40"/>
    <mergeCell ref="C9:D9"/>
    <mergeCell ref="B3:H3"/>
    <mergeCell ref="B33:D33"/>
    <mergeCell ref="C43:D43"/>
    <mergeCell ref="C11:D11"/>
    <mergeCell ref="B35:D35"/>
    <mergeCell ref="B2:H2"/>
    <mergeCell ref="C39:D39"/>
    <mergeCell ref="C8:D8"/>
    <mergeCell ref="B14:H14"/>
    <mergeCell ref="C7:D7"/>
    <mergeCell ref="C38:D38"/>
    <mergeCell ref="B1:H1"/>
    <mergeCell ref="B12:D12"/>
    <mergeCell ref="B37:H37"/>
  </mergeCells>
  <conditionalFormatting sqref="H16:H22">
    <cfRule type="cellIs" priority="1" operator="equal" dxfId="0" stopIfTrue="1">
      <formula>"✅ Ahorro en Gasto"</formula>
    </cfRule>
    <cfRule type="cellIs" priority="2" operator="equal" dxfId="1" stopIfTrue="1">
      <formula>"⚖️ En Presupuesto"</formula>
    </cfRule>
    <cfRule type="cellIs" priority="3" operator="equal" dxfId="2" stopIfTrue="1">
      <formula>"⚠️ Sobregasto"</formula>
    </cfRule>
  </conditionalFormatting>
  <conditionalFormatting sqref="H24:H28">
    <cfRule type="cellIs" priority="4" operator="equal" dxfId="0" stopIfTrue="1">
      <formula>"✅ Ahorro en Deseo"</formula>
    </cfRule>
    <cfRule type="cellIs" priority="5" operator="equal" dxfId="1" stopIfTrue="1">
      <formula>"⚖️ En Presupuesto"</formula>
    </cfRule>
    <cfRule type="cellIs" priority="6" operator="equal" dxfId="2" stopIfTrue="1">
      <formula>"⚠️ Exceso de Deseo"</formula>
    </cfRule>
  </conditionalFormatting>
  <conditionalFormatting sqref="H30:H32">
    <cfRule type="cellIs" priority="7" operator="equal" dxfId="0" stopIfTrue="1">
      <formula>"🌟 Superávit Invertido"</formula>
    </cfRule>
    <cfRule type="cellIs" priority="8" operator="equal" dxfId="1" stopIfTrue="1">
      <formula>"✅ Meta Cumplida"</formula>
    </cfRule>
    <cfRule type="cellIs" priority="9" operator="equal" dxfId="2" stopIfTrue="1">
      <formula>"⚠️ Meta Incompleta"</formula>
    </cfRule>
  </conditionalFormatting>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DOC-KF-04 | Versión: 3.0&amp;RPágina &amp;P de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fitToPage="1"/>
  </sheetPr>
  <dimension ref="B1:O139"/>
  <sheetViews>
    <sheetView showGridLines="0" view="pageLayout" workbookViewId="0">
      <selection activeCell="A1" sqref="A1"/>
    </sheetView>
  </sheetViews>
  <sheetFormatPr baseColWidth="8" defaultRowHeight="15"/>
  <cols>
    <col width="3" customWidth="1" min="1" max="1"/>
    <col width="9.5"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s>
  <sheetData>
    <row r="1" ht="30" customHeight="1">
      <c r="B1" s="1" t="inlineStr">
        <is>
          <t>GUÍA 3 · SALIR DE DEUDAS Y CONSTRUIR LIBERTAD</t>
        </is>
      </c>
    </row>
    <row r="2" ht="22" customHeight="1">
      <c r="B2" s="2" t="inlineStr">
        <is>
          <t>Cómo elegir tu estrategia de pago, distinguir lo que te da dinero de lo que te lo quita, y en qué orden avanzar.</t>
        </is>
      </c>
    </row>
    <row r="3" ht="8" customHeight="1">
      <c r="B3" s="3" t="n"/>
      <c r="C3" s="3" t="n"/>
      <c r="D3" s="3" t="n"/>
      <c r="E3" s="3" t="n"/>
      <c r="F3" s="3" t="n"/>
      <c r="G3" s="3" t="n"/>
      <c r="H3" s="3" t="n"/>
      <c r="I3" s="3" t="n"/>
      <c r="J3" s="3" t="n"/>
      <c r="K3" s="3" t="n"/>
      <c r="L3" s="3" t="n"/>
      <c r="M3" s="3" t="n"/>
      <c r="N3" s="3" t="n"/>
      <c r="O3" s="3" t="n"/>
    </row>
    <row r="5" ht="30" customHeight="1">
      <c r="B5" s="19" t="inlineStr">
        <is>
          <t>Paso 1 · Elige tu camino para salir de deudas. Los dos funcionan; el mejor es el que realmente vayas a sostener.</t>
        </is>
      </c>
    </row>
    <row r="39" ht="30" customHeight="1">
      <c r="B39" s="19" t="inlineStr">
        <is>
          <t>Paso 2 · Aprende a distinguir un activo de un pasivo. Esta sola distinción cambia decisiones de miles de pesos.</t>
        </is>
      </c>
    </row>
    <row r="69" ht="30" customHeight="1">
      <c r="B69" s="19" t="inlineStr">
        <is>
          <t>Paso 3 · Entiende de dónde viene tu dinero hoy y hacia dónde quieres moverlo.</t>
        </is>
      </c>
    </row>
    <row r="104" ht="30" customHeight="1">
      <c r="B104" s="19" t="inlineStr">
        <is>
          <t>Paso 4 · Ubica tu peldaño actual. El orden importa más que la velocidad.</t>
        </is>
      </c>
    </row>
    <row r="139" ht="30" customHeight="1">
      <c r="B139" s="19" t="inlineStr">
        <is>
          <t>Siguiente paso: ve a la hoja «05_Saneamiento_Deudas» para tu plan de pago, y a la «09_Libertad_Financiera» para tu meta de largo plazo.</t>
        </is>
      </c>
    </row>
  </sheetData>
  <mergeCells count="7">
    <mergeCell ref="B1:O1"/>
    <mergeCell ref="B39:O39"/>
    <mergeCell ref="B69:O69"/>
    <mergeCell ref="B2:O2"/>
    <mergeCell ref="B139:O139"/>
    <mergeCell ref="B104:O104"/>
    <mergeCell ref="B5:O5"/>
  </mergeCells>
  <pageMargins left="0.35" right="0.35" top="0.5" bottom="0.5" header="0.2" footer="0.2"/>
  <pageSetup orientation="landscape" paperSize="1" fitToHeight="0" fitToWidth="1"/>
  <headerFooter>
    <oddHeader/>
    <oddFooter>&amp;LKIT Financiero XPROF 3.0 - Guía visual&amp;RPágina &amp;P de &amp;N</oddFooter>
    <evenHeader/>
    <evenFooter/>
    <firstHeader/>
    <firstFooter/>
  </headerFooter>
  <drawing xmlns:r="http://schemas.openxmlformats.org/officeDocument/2006/relationships" r:id="rId1"/>
</worksheet>
</file>

<file path=xl/worksheets/sheet10.xml><?xml version="1.0" encoding="utf-8"?>
<worksheet xmlns="http://schemas.openxmlformats.org/spreadsheetml/2006/main">
  <sheetPr>
    <outlinePr summaryBelow="1" summaryRight="1"/>
    <pageSetUpPr fitToPage="1"/>
  </sheetPr>
  <dimension ref="B1:Q38"/>
  <sheetViews>
    <sheetView showGridLines="0" view="pageLayout" workbookViewId="0">
      <selection activeCell="A1" sqref="A1"/>
    </sheetView>
  </sheetViews>
  <sheetFormatPr baseColWidth="8" defaultRowHeight="15"/>
  <cols>
    <col width="3" customWidth="1" min="1" max="1"/>
    <col width="8" customWidth="1" min="2" max="2"/>
    <col width="28" customWidth="1" min="3" max="3"/>
    <col width="22" customWidth="1" min="4" max="4"/>
    <col width="18" customWidth="1" min="5" max="5"/>
    <col width="22" customWidth="1" min="6" max="6"/>
    <col width="18" customWidth="1" min="7" max="7"/>
    <col width="20" customWidth="1" min="8" max="8"/>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s>
  <sheetData>
    <row r="1" ht="24" customHeight="1">
      <c r="B1" s="20" t="inlineStr">
        <is>
          <t>METODOLOGÍA M.A.E.S.T.R.O. FINANCIERO XPROF</t>
        </is>
      </c>
    </row>
    <row r="2" ht="22" customHeight="1">
      <c r="B2" s="21" t="inlineStr">
        <is>
          <t>ESTRATEGIA DE DESENDEUDAMIENTO ACELERADO (BOLA DE NIEVE VS AVALANCHA) Y DTI | Código: DOC-KF-05</t>
        </is>
      </c>
    </row>
    <row r="3" ht="30" customHeight="1">
      <c r="B3" s="22" t="inlineStr">
        <is>
          <t>Propósito: Registrar todas las obligaciones crediticias, analizar el ratio de carga financiera (DTI) y simular el plan de extinción acelerada de deuda.</t>
        </is>
      </c>
    </row>
    <row r="4" ht="18" customHeight="1">
      <c r="B4" s="23" t="inlineStr">
        <is>
          <t>Entidad Asesora: XPROF | Versión: 3.0 | Autor: Helman Carrillo | Válido para: Personas, Emprendedores y Familias</t>
        </is>
      </c>
    </row>
    <row r="5" ht="20" customHeight="1">
      <c r="B5" s="24" t="inlineStr">
        <is>
          <t>EN UNA FRASE:   Lista tus deudas. La hoja te dice en qué orden pagarlas y cuánto dinero te ahorras con cada camino.</t>
        </is>
      </c>
      <c r="C5" s="25" t="n"/>
      <c r="D5" s="25" t="n"/>
      <c r="E5" s="25" t="n"/>
      <c r="F5" s="25" t="n"/>
      <c r="G5" s="25" t="n"/>
      <c r="H5" s="25" t="n"/>
    </row>
    <row r="6" ht="24" customHeight="1">
      <c r="B6" s="4" t="inlineStr">
        <is>
          <t>1. MATRIZ DE REGISTRO Y CONTROL DE DEUDAS ACTIVAS</t>
        </is>
      </c>
      <c r="C6" s="5" t="n"/>
      <c r="D6" s="5" t="n"/>
      <c r="E6" s="5" t="n"/>
      <c r="F6" s="5" t="n"/>
      <c r="G6" s="5" t="n"/>
      <c r="H6" s="5" t="n"/>
    </row>
    <row r="7" ht="20" customHeight="1">
      <c r="B7" s="26" t="inlineStr">
        <is>
          <t>N°</t>
        </is>
      </c>
      <c r="C7" s="26" t="inlineStr">
        <is>
          <t>Acreedor / Entidad</t>
        </is>
      </c>
      <c r="D7" s="26" t="inlineStr">
        <is>
          <t>Tipo de Crédito</t>
        </is>
      </c>
      <c r="E7" s="26" t="inlineStr">
        <is>
          <t>Saldo Capital ($)</t>
        </is>
      </c>
      <c r="F7" s="26" t="inlineStr">
        <is>
          <t>Tasa Anual (TEA %)</t>
        </is>
      </c>
      <c r="G7" s="26" t="inlineStr">
        <is>
          <t>Cuota Mínima ($)</t>
        </is>
      </c>
      <c r="H7" s="26" t="inlineStr">
        <is>
          <t>Plazo Restante (Meses)</t>
        </is>
      </c>
    </row>
    <row r="8" ht="21" customHeight="1">
      <c r="B8" s="30" t="n">
        <v>1</v>
      </c>
      <c r="C8" s="8" t="inlineStr">
        <is>
          <t>Banco A - Tarjeta Crédito 1</t>
        </is>
      </c>
      <c r="D8" s="8" t="inlineStr">
        <is>
          <t>Tarjeta Revolvente</t>
        </is>
      </c>
      <c r="E8" s="46" t="n">
        <v>3200000</v>
      </c>
      <c r="F8" s="47" t="n">
        <v>0.285</v>
      </c>
      <c r="G8" s="61" t="n">
        <v>280000</v>
      </c>
      <c r="H8" s="30" t="n">
        <v>14</v>
      </c>
      <c r="J8">
        <f>IF($E8&lt;=0,"",COUNTIFS($E$8:$E$14,"&lt;"&amp;$E8,$E$8:$E$14,"&gt;0")+COUNTIFS($E$8:$E8,"&gt;0",$E$8:$E8,$E8))</f>
        <v/>
      </c>
      <c r="K8">
        <f>IF($E8&lt;=0,"",COUNTIFS($E$8:$E$14,"&gt;0",$F$8:$F$14,"&gt;"&amp;$F8)+COUNTIFS($E$8:$E8,"&gt;0",$F$8:$F8,$F8))</f>
        <v/>
      </c>
      <c r="L8">
        <f>IF($E8&lt;=0,"",IF($E$25="Avalancha",K8,J8))</f>
        <v/>
      </c>
    </row>
    <row r="9" ht="21" customHeight="1">
      <c r="B9" s="29" t="n">
        <v>2</v>
      </c>
      <c r="C9" s="11" t="inlineStr">
        <is>
          <t>Banco B - Crédito Personal</t>
        </is>
      </c>
      <c r="D9" s="11" t="inlineStr">
        <is>
          <t>Préstamo Libre Inversión</t>
        </is>
      </c>
      <c r="E9" s="46" t="n">
        <v>8500000</v>
      </c>
      <c r="F9" s="48" t="n">
        <v>0.198</v>
      </c>
      <c r="G9" s="61" t="n">
        <v>420000</v>
      </c>
      <c r="H9" s="29" t="n">
        <v>24</v>
      </c>
      <c r="J9">
        <f>IF($E9&lt;=0,"",COUNTIFS($E$8:$E$14,"&lt;"&amp;$E9,$E$8:$E$14,"&gt;0")+COUNTIFS($E$8:$E9,"&gt;0",$E$8:$E9,$E9))</f>
        <v/>
      </c>
      <c r="K9">
        <f>IF($E9&lt;=0,"",COUNTIFS($E$8:$E$14,"&gt;0",$F$8:$F$14,"&gt;"&amp;$F9)+COUNTIFS($E$8:$E9,"&gt;0",$F$8:$F9,$F9))</f>
        <v/>
      </c>
      <c r="L9">
        <f>IF($E9&lt;=0,"",IF($E$25="Avalancha",K9,J9))</f>
        <v/>
      </c>
    </row>
    <row r="10" ht="21" customHeight="1">
      <c r="B10" s="30" t="n">
        <v>3</v>
      </c>
      <c r="C10" s="8" t="inlineStr">
        <is>
          <t>Financiera Vehicular</t>
        </is>
      </c>
      <c r="D10" s="8" t="inlineStr">
        <is>
          <t>Crédito Vehicular</t>
        </is>
      </c>
      <c r="E10" s="46" t="n">
        <v>14000000</v>
      </c>
      <c r="F10" s="47" t="n">
        <v>0.165</v>
      </c>
      <c r="G10" s="61" t="n">
        <v>580000</v>
      </c>
      <c r="H10" s="30" t="n">
        <v>30</v>
      </c>
      <c r="J10">
        <f>IF($E10&lt;=0,"",COUNTIFS($E$8:$E$14,"&lt;"&amp;$E10,$E$8:$E$14,"&gt;0")+COUNTIFS($E$8:$E10,"&gt;0",$E$8:$E10,$E10))</f>
        <v/>
      </c>
      <c r="K10">
        <f>IF($E10&lt;=0,"",COUNTIFS($E$8:$E$14,"&gt;0",$F$8:$F$14,"&gt;"&amp;$F10)+COUNTIFS($E$8:$E10,"&gt;0",$F$8:$F10,$F10))</f>
        <v/>
      </c>
      <c r="L10">
        <f>IF($E10&lt;=0,"",IF($E$25="Avalancha",K10,J10))</f>
        <v/>
      </c>
    </row>
    <row r="11" ht="21" customHeight="1">
      <c r="B11" s="29" t="n">
        <v>4</v>
      </c>
      <c r="C11" s="11" t="inlineStr">
        <is>
          <t>Banco C - Crédito Educativo</t>
        </is>
      </c>
      <c r="D11" s="11" t="inlineStr">
        <is>
          <t>Crédito Estudio</t>
        </is>
      </c>
      <c r="E11" s="46" t="n">
        <v>6000000</v>
      </c>
      <c r="F11" s="48" t="n">
        <v>0.095</v>
      </c>
      <c r="G11" s="61" t="n">
        <v>220000</v>
      </c>
      <c r="H11" s="29" t="n">
        <v>32</v>
      </c>
      <c r="J11">
        <f>IF($E11&lt;=0,"",COUNTIFS($E$8:$E$14,"&lt;"&amp;$E11,$E$8:$E$14,"&gt;0")+COUNTIFS($E$8:$E11,"&gt;0",$E$8:$E11,$E11))</f>
        <v/>
      </c>
      <c r="K11">
        <f>IF($E11&lt;=0,"",COUNTIFS($E$8:$E$14,"&gt;0",$F$8:$F$14,"&gt;"&amp;$F11)+COUNTIFS($E$8:$E11,"&gt;0",$F$8:$F11,$F11))</f>
        <v/>
      </c>
      <c r="L11">
        <f>IF($E11&lt;=0,"",IF($E$25="Avalancha",K11,J11))</f>
        <v/>
      </c>
    </row>
    <row r="12" ht="21" customHeight="1">
      <c r="B12" s="30" t="n">
        <v>5</v>
      </c>
      <c r="C12" s="8" t="inlineStr">
        <is>
          <t>Banco Hipotecario</t>
        </is>
      </c>
      <c r="D12" s="8" t="inlineStr">
        <is>
          <t>Crédito de Vivienda</t>
        </is>
      </c>
      <c r="E12" s="46" t="n">
        <v>115000000</v>
      </c>
      <c r="F12" s="47" t="n">
        <v>0.125</v>
      </c>
      <c r="G12" s="61" t="n">
        <v>1350000</v>
      </c>
      <c r="H12" s="30" t="n">
        <v>140</v>
      </c>
      <c r="J12">
        <f>IF($E12&lt;=0,"",COUNTIFS($E$8:$E$14,"&lt;"&amp;$E12,$E$8:$E$14,"&gt;0")+COUNTIFS($E$8:$E12,"&gt;0",$E$8:$E12,$E12))</f>
        <v/>
      </c>
      <c r="K12">
        <f>IF($E12&lt;=0,"",COUNTIFS($E$8:$E$14,"&gt;0",$F$8:$F$14,"&gt;"&amp;$F12)+COUNTIFS($E$8:$E12,"&gt;0",$F$8:$F12,$F12))</f>
        <v/>
      </c>
      <c r="L12">
        <f>IF($E12&lt;=0,"",IF($E$25="Avalancha",K12,J12))</f>
        <v/>
      </c>
    </row>
    <row r="13" ht="21" customHeight="1">
      <c r="B13" s="29" t="n">
        <v>6</v>
      </c>
      <c r="C13" s="11" t="inlineStr">
        <is>
          <t>Segunda Hipoteca Inversión</t>
        </is>
      </c>
      <c r="D13" s="11" t="inlineStr">
        <is>
          <t>Crédito Inmobiliario</t>
        </is>
      </c>
      <c r="E13" s="46" t="n">
        <v>42000000</v>
      </c>
      <c r="F13" s="48" t="n">
        <v>0.132</v>
      </c>
      <c r="G13" s="61" t="n">
        <v>540000</v>
      </c>
      <c r="H13" s="29" t="n">
        <v>120</v>
      </c>
      <c r="J13">
        <f>IF($E13&lt;=0,"",COUNTIFS($E$8:$E$14,"&lt;"&amp;$E13,$E$8:$E$14,"&gt;0")+COUNTIFS($E$8:$E13,"&gt;0",$E$8:$E13,$E13))</f>
        <v/>
      </c>
      <c r="K13">
        <f>IF($E13&lt;=0,"",COUNTIFS($E$8:$E$14,"&gt;0",$F$8:$F$14,"&gt;"&amp;$F13)+COUNTIFS($E$8:$E13,"&gt;0",$F$8:$F13,$F13))</f>
        <v/>
      </c>
      <c r="L13">
        <f>IF($E13&lt;=0,"",IF($E$25="Avalancha",K13,J13))</f>
        <v/>
      </c>
    </row>
    <row r="14" ht="21" customHeight="1">
      <c r="B14" s="30" t="n">
        <v>7</v>
      </c>
      <c r="C14" s="8" t="inlineStr">
        <is>
          <t>Acreedor Particular / Familiar</t>
        </is>
      </c>
      <c r="D14" s="8" t="inlineStr">
        <is>
          <t>Préstamo Personal</t>
        </is>
      </c>
      <c r="E14" s="46" t="n">
        <v>0</v>
      </c>
      <c r="F14" s="47" t="n">
        <v>0</v>
      </c>
      <c r="G14" s="61" t="n">
        <v>0</v>
      </c>
      <c r="H14" s="30" t="n">
        <v>0</v>
      </c>
      <c r="J14">
        <f>IF($E14&lt;=0,"",COUNTIFS($E$8:$E$14,"&lt;"&amp;$E14,$E$8:$E$14,"&gt;0")+COUNTIFS($E$8:$E14,"&gt;0",$E$8:$E14,$E14))</f>
        <v/>
      </c>
      <c r="K14">
        <f>IF($E14&lt;=0,"",COUNTIFS($E$8:$E$14,"&gt;0",$F$8:$F$14,"&gt;"&amp;$F14)+COUNTIFS($E$8:$E14,"&gt;0",$F$8:$F14,$F14))</f>
        <v/>
      </c>
      <c r="L14">
        <f>IF($E14&lt;=0,"",IF($E$25="Avalancha",K14,J14))</f>
        <v/>
      </c>
    </row>
    <row r="15" ht="24" customHeight="1">
      <c r="B15" s="49" t="inlineStr">
        <is>
          <t>TOTAL PASIVOS Y SERVICIO MENSUAL DE DEUDA:</t>
        </is>
      </c>
      <c r="C15" s="32" t="n"/>
      <c r="D15" s="32" t="n"/>
      <c r="E15" s="50">
        <f>SUM(E8:E14)</f>
        <v/>
      </c>
      <c r="F15" s="52" t="inlineStr"/>
      <c r="G15" s="50">
        <f>SUM(G8:G14)</f>
        <v/>
      </c>
      <c r="H15" s="52" t="inlineStr"/>
    </row>
    <row r="17" ht="24" customHeight="1">
      <c r="B17" s="4" t="inlineStr">
        <is>
          <t>2. ANÁLISIS DE CARGA FINANCIERA (DTI: DEBT-TO-INCOME) Y CAPACIDAD DE PAGO</t>
        </is>
      </c>
      <c r="C17" s="5" t="n"/>
      <c r="D17" s="5" t="n"/>
      <c r="E17" s="5" t="n"/>
      <c r="F17" s="5" t="n"/>
      <c r="G17" s="5" t="n"/>
      <c r="H17" s="5" t="n"/>
    </row>
    <row r="18" ht="22" customHeight="1">
      <c r="B18" s="54" t="inlineStr">
        <is>
          <t>Ingreso Mensual Neto Disponible (enlazado de Presupuesto):</t>
        </is>
      </c>
      <c r="C18" s="55" t="n"/>
      <c r="D18" s="55" t="n"/>
      <c r="E18" s="67">
        <f>'04_Presupuesto_Inteligente'!F12</f>
        <v/>
      </c>
      <c r="F18" s="57" t="inlineStr">
        <is>
          <t>Base de ingresos netos reales.</t>
        </is>
      </c>
      <c r="G18" s="55" t="n"/>
      <c r="H18" s="55" t="n"/>
    </row>
    <row r="19" ht="22" customHeight="1">
      <c r="B19" s="35" t="inlineStr">
        <is>
          <t>Servicio Mensual de Deuda Total (Cuotas consolidadas):</t>
        </is>
      </c>
      <c r="C19" s="10" t="n"/>
      <c r="D19" s="10" t="n"/>
      <c r="E19" s="58">
        <f>G15</f>
        <v/>
      </c>
      <c r="F19" s="18" t="inlineStr">
        <is>
          <t>Total comprometido en pagos crediticios.</t>
        </is>
      </c>
      <c r="G19" s="10" t="n"/>
      <c r="H19" s="10" t="n"/>
    </row>
    <row r="20" ht="22" customHeight="1">
      <c r="B20" s="54" t="inlineStr">
        <is>
          <t>RATIO DE CARGA FINANCIERA (DTI: Cuotas / Ingresos):</t>
        </is>
      </c>
      <c r="C20" s="55" t="n"/>
      <c r="D20" s="55" t="n"/>
      <c r="E20" s="68">
        <f>IF(E18&gt;0, E19/E18, 0)</f>
        <v/>
      </c>
      <c r="F20" s="57" t="inlineStr">
        <is>
          <t>Porcentaje de tus ingresos destinado a pagar deudas.</t>
        </is>
      </c>
      <c r="G20" s="55" t="n"/>
      <c r="H20" s="55" t="n"/>
    </row>
    <row r="21" ht="22" customHeight="1">
      <c r="B21" s="35" t="inlineStr">
        <is>
          <t>SEMÁFORO DE RIESGO CREDITICIO XPROF:</t>
        </is>
      </c>
      <c r="C21" s="10" t="n"/>
      <c r="D21" s="10" t="n"/>
      <c r="E21" s="69">
        <f>IF(E20&lt;=0.3,"🟢 ÓPTIMO (&lt;30% - Nivel Saludable)",IF(E20&lt;=0.4,"🟡 PRECAUCIÓN (30%-40% - Límite Máximo)","🔴 RIESGO CRÍTICO (&gt;40% - Sobreendeudamiento)"))</f>
        <v/>
      </c>
      <c r="F21" s="18" t="inlineStr">
        <is>
          <t>Diagnóstico regulatorio de solvencia.</t>
        </is>
      </c>
      <c r="G21" s="10" t="n"/>
      <c r="H21" s="10" t="n"/>
    </row>
    <row r="23" ht="24" customHeight="1">
      <c r="B23" s="4" t="inlineStr">
        <is>
          <t>3. TU PLAN DE SALIDA: EN QUÉ ORDEN PAGAR Y CUÁNDO QUEDAS LIBRE</t>
        </is>
      </c>
      <c r="C23" s="5" t="n"/>
      <c r="D23" s="5" t="n"/>
      <c r="E23" s="5" t="n"/>
      <c r="F23" s="5" t="n"/>
      <c r="G23" s="5" t="n"/>
      <c r="H23" s="5" t="n"/>
    </row>
    <row r="24" ht="24" customHeight="1">
      <c r="B24" s="54" t="inlineStr">
        <is>
          <t>¿Cuánto puedes pagar de MÁS cada mes?</t>
        </is>
      </c>
      <c r="C24" s="55" t="n"/>
      <c r="D24" s="55" t="n"/>
      <c r="E24" s="56" t="n">
        <v>1200000</v>
      </c>
      <c r="F24" s="70" t="inlineStr">
        <is>
          <t>Además de las cuotas mínimas. Aunque sea poco, cambia mucho el resultado.</t>
        </is>
      </c>
      <c r="G24" s="55" t="n"/>
      <c r="H24" s="55" t="n"/>
    </row>
    <row r="25" ht="24" customHeight="1">
      <c r="B25" s="35" t="inlineStr">
        <is>
          <t>¿Qué método quieres usar?</t>
        </is>
      </c>
      <c r="C25" s="10" t="n"/>
      <c r="D25" s="10" t="n"/>
      <c r="E25" s="17" t="inlineStr">
        <is>
          <t>Avalancha</t>
        </is>
      </c>
      <c r="F25" s="71" t="inlineStr">
        <is>
          <t>Bola de nieve = pagas primero la MÁS PEQUEÑA.   Avalancha = pagas primero la de MAYOR interés.</t>
        </is>
      </c>
      <c r="G25" s="10" t="n"/>
      <c r="H25" s="10" t="n"/>
    </row>
    <row r="26" ht="32" customHeight="1">
      <c r="B26" s="72" t="inlineStr">
        <is>
          <t>Cambia el método arriba y mira cómo cambia el orden. La avalancha te hace pagar menos intereses; la bola de nieve te da tu primera victoria más rápido. El mejor método es el que de verdad vayas a sostener hasta el final.</t>
        </is>
      </c>
    </row>
    <row r="27" ht="32" customHeight="1">
      <c r="B27" s="26" t="inlineStr">
        <is>
          <t>Orden</t>
        </is>
      </c>
      <c r="C27" s="26" t="inlineStr">
        <is>
          <t>Empieza por esta deuda</t>
        </is>
      </c>
      <c r="D27" s="26" t="inlineStr">
        <is>
          <t>Saldo hoy ($)</t>
        </is>
      </c>
      <c r="E27" s="26" t="inlineStr">
        <is>
          <t>Tasa</t>
        </is>
      </c>
      <c r="F27" s="26" t="inlineStr">
        <is>
          <t>Pago mensual que le aplicas ($)</t>
        </is>
      </c>
      <c r="G27" s="26" t="inlineStr">
        <is>
          <t>Meses atacándola</t>
        </is>
      </c>
      <c r="H27" s="26" t="inlineStr">
        <is>
          <t>Queda pagada en el mes</t>
        </is>
      </c>
    </row>
    <row r="28">
      <c r="B28" s="30" t="n">
        <v>1</v>
      </c>
      <c r="C28" s="8">
        <f>IFERROR(INDEX($C$8:$C$14,MATCH($B28,$L$8:$L$14,0)),"—")</f>
        <v/>
      </c>
      <c r="D28" s="62">
        <f>IFERROR(INDEX($E$8:$E$14,MATCH($B28,$L$8:$L$14,0)),0)</f>
        <v/>
      </c>
      <c r="E28" s="47">
        <f>IFERROR(INDEX($F$8:$F$14,MATCH($B28,$L$8:$L$14,0)),0)</f>
        <v/>
      </c>
      <c r="F28" s="62">
        <f>IF(D28&lt;=0,0,M28+$E$24)</f>
        <v/>
      </c>
      <c r="G28" s="73">
        <f>IF(D28&lt;=0,"",IF(N28&lt;=0,"se paga sola",Q28))</f>
        <v/>
      </c>
      <c r="H28" s="73">
        <f>IF(D28&lt;=0,0,IF(N28&lt;=0,O28,P28))</f>
        <v/>
      </c>
      <c r="M28">
        <f>IFERROR(INDEX($G$8:$G$14,MATCH($B28,$L$8:$L$14,0)),0)</f>
        <v/>
      </c>
      <c r="N28">
        <f>IF(D28&lt;=0,0,D28)</f>
        <v/>
      </c>
      <c r="O28">
        <f>IF(D28&lt;=0,0,IF(E28=0,IF(M28&gt;0,D28/M28,9999),IFERROR(-LN(1-D28*(E28/12)/M28)/LN(1+E28/12),9999)))</f>
        <v/>
      </c>
      <c r="P28">
        <f>Q28</f>
        <v/>
      </c>
      <c r="Q28">
        <f>IF(N28&lt;=0,0,IF(E28=0,IF(F28&gt;0,N28/F28,0),IFERROR(-LN(1-N28*(E28/12)/F28)/LN(1+E28/12),0)))</f>
        <v/>
      </c>
    </row>
    <row r="29">
      <c r="B29" s="29" t="n">
        <v>2</v>
      </c>
      <c r="C29" s="11">
        <f>IFERROR(INDEX($C$8:$C$14,MATCH($B29,$L$8:$L$14,0)),"—")</f>
        <v/>
      </c>
      <c r="D29" s="63">
        <f>IFERROR(INDEX($E$8:$E$14,MATCH($B29,$L$8:$L$14,0)),0)</f>
        <v/>
      </c>
      <c r="E29" s="48">
        <f>IFERROR(INDEX($F$8:$F$14,MATCH($B29,$L$8:$L$14,0)),0)</f>
        <v/>
      </c>
      <c r="F29" s="63">
        <f>IF(D29&lt;=0,0,M29+$E$24+SUM($M$28:M28))</f>
        <v/>
      </c>
      <c r="G29" s="74">
        <f>IF(D29&lt;=0,"",IF(N29&lt;=0,"se paga sola",Q29))</f>
        <v/>
      </c>
      <c r="H29" s="74">
        <f>IF(D29&lt;=0,0,IF(N29&lt;=0,O29,P29))</f>
        <v/>
      </c>
      <c r="M29">
        <f>IFERROR(INDEX($G$8:$G$14,MATCH($B29,$L$8:$L$14,0)),0)</f>
        <v/>
      </c>
      <c r="N29">
        <f>IF(D29&lt;=0,0,IF(O29&lt;=P28,0,IF(E29=0,MAX(0,D29-M29*P28),MAX(0,D29*(1+E29/12)^P28-M29*((1+E29/12)^P28-1)/(E29/12)))))</f>
        <v/>
      </c>
      <c r="O29">
        <f>IF(D29&lt;=0,0,IF(E29=0,IF(M29&gt;0,D29/M29,9999),IFERROR(-LN(1-D29*(E29/12)/M29)/LN(1+E29/12),9999)))</f>
        <v/>
      </c>
      <c r="P29">
        <f>Q29+P28</f>
        <v/>
      </c>
      <c r="Q29">
        <f>IF(N29&lt;=0,0,IF(E29=0,IF(F29&gt;0,N29/F29,0),IFERROR(-LN(1-N29*(E29/12)/F29)/LN(1+E29/12),0)))</f>
        <v/>
      </c>
    </row>
    <row r="30">
      <c r="B30" s="30" t="n">
        <v>3</v>
      </c>
      <c r="C30" s="8">
        <f>IFERROR(INDEX($C$8:$C$14,MATCH($B30,$L$8:$L$14,0)),"—")</f>
        <v/>
      </c>
      <c r="D30" s="62">
        <f>IFERROR(INDEX($E$8:$E$14,MATCH($B30,$L$8:$L$14,0)),0)</f>
        <v/>
      </c>
      <c r="E30" s="47">
        <f>IFERROR(INDEX($F$8:$F$14,MATCH($B30,$L$8:$L$14,0)),0)</f>
        <v/>
      </c>
      <c r="F30" s="62">
        <f>IF(D30&lt;=0,0,M30+$E$24+SUM($M$28:M29))</f>
        <v/>
      </c>
      <c r="G30" s="73">
        <f>IF(D30&lt;=0,"",IF(N30&lt;=0,"se paga sola",Q30))</f>
        <v/>
      </c>
      <c r="H30" s="73">
        <f>IF(D30&lt;=0,0,IF(N30&lt;=0,O30,P30))</f>
        <v/>
      </c>
      <c r="M30">
        <f>IFERROR(INDEX($G$8:$G$14,MATCH($B30,$L$8:$L$14,0)),0)</f>
        <v/>
      </c>
      <c r="N30">
        <f>IF(D30&lt;=0,0,IF(O30&lt;=P29,0,IF(E30=0,MAX(0,D30-M30*P29),MAX(0,D30*(1+E30/12)^P29-M30*((1+E30/12)^P29-1)/(E30/12)))))</f>
        <v/>
      </c>
      <c r="O30">
        <f>IF(D30&lt;=0,0,IF(E30=0,IF(M30&gt;0,D30/M30,9999),IFERROR(-LN(1-D30*(E30/12)/M30)/LN(1+E30/12),9999)))</f>
        <v/>
      </c>
      <c r="P30">
        <f>Q30+P29</f>
        <v/>
      </c>
      <c r="Q30">
        <f>IF(N30&lt;=0,0,IF(E30=0,IF(F30&gt;0,N30/F30,0),IFERROR(-LN(1-N30*(E30/12)/F30)/LN(1+E30/12),0)))</f>
        <v/>
      </c>
    </row>
    <row r="31">
      <c r="B31" s="29" t="n">
        <v>4</v>
      </c>
      <c r="C31" s="11">
        <f>IFERROR(INDEX($C$8:$C$14,MATCH($B31,$L$8:$L$14,0)),"—")</f>
        <v/>
      </c>
      <c r="D31" s="63">
        <f>IFERROR(INDEX($E$8:$E$14,MATCH($B31,$L$8:$L$14,0)),0)</f>
        <v/>
      </c>
      <c r="E31" s="48">
        <f>IFERROR(INDEX($F$8:$F$14,MATCH($B31,$L$8:$L$14,0)),0)</f>
        <v/>
      </c>
      <c r="F31" s="63">
        <f>IF(D31&lt;=0,0,M31+$E$24+SUM($M$28:M30))</f>
        <v/>
      </c>
      <c r="G31" s="74">
        <f>IF(D31&lt;=0,"",IF(N31&lt;=0,"se paga sola",Q31))</f>
        <v/>
      </c>
      <c r="H31" s="74">
        <f>IF(D31&lt;=0,0,IF(N31&lt;=0,O31,P31))</f>
        <v/>
      </c>
      <c r="M31">
        <f>IFERROR(INDEX($G$8:$G$14,MATCH($B31,$L$8:$L$14,0)),0)</f>
        <v/>
      </c>
      <c r="N31">
        <f>IF(D31&lt;=0,0,IF(O31&lt;=P30,0,IF(E31=0,MAX(0,D31-M31*P30),MAX(0,D31*(1+E31/12)^P30-M31*((1+E31/12)^P30-1)/(E31/12)))))</f>
        <v/>
      </c>
      <c r="O31">
        <f>IF(D31&lt;=0,0,IF(E31=0,IF(M31&gt;0,D31/M31,9999),IFERROR(-LN(1-D31*(E31/12)/M31)/LN(1+E31/12),9999)))</f>
        <v/>
      </c>
      <c r="P31">
        <f>Q31+P30</f>
        <v/>
      </c>
      <c r="Q31">
        <f>IF(N31&lt;=0,0,IF(E31=0,IF(F31&gt;0,N31/F31,0),IFERROR(-LN(1-N31*(E31/12)/F31)/LN(1+E31/12),0)))</f>
        <v/>
      </c>
    </row>
    <row r="32">
      <c r="B32" s="30" t="n">
        <v>5</v>
      </c>
      <c r="C32" s="8">
        <f>IFERROR(INDEX($C$8:$C$14,MATCH($B32,$L$8:$L$14,0)),"—")</f>
        <v/>
      </c>
      <c r="D32" s="62">
        <f>IFERROR(INDEX($E$8:$E$14,MATCH($B32,$L$8:$L$14,0)),0)</f>
        <v/>
      </c>
      <c r="E32" s="47">
        <f>IFERROR(INDEX($F$8:$F$14,MATCH($B32,$L$8:$L$14,0)),0)</f>
        <v/>
      </c>
      <c r="F32" s="62">
        <f>IF(D32&lt;=0,0,M32+$E$24+SUM($M$28:M31))</f>
        <v/>
      </c>
      <c r="G32" s="73">
        <f>IF(D32&lt;=0,"",IF(N32&lt;=0,"se paga sola",Q32))</f>
        <v/>
      </c>
      <c r="H32" s="73">
        <f>IF(D32&lt;=0,0,IF(N32&lt;=0,O32,P32))</f>
        <v/>
      </c>
      <c r="M32">
        <f>IFERROR(INDEX($G$8:$G$14,MATCH($B32,$L$8:$L$14,0)),0)</f>
        <v/>
      </c>
      <c r="N32">
        <f>IF(D32&lt;=0,0,IF(O32&lt;=P31,0,IF(E32=0,MAX(0,D32-M32*P31),MAX(0,D32*(1+E32/12)^P31-M32*((1+E32/12)^P31-1)/(E32/12)))))</f>
        <v/>
      </c>
      <c r="O32">
        <f>IF(D32&lt;=0,0,IF(E32=0,IF(M32&gt;0,D32/M32,9999),IFERROR(-LN(1-D32*(E32/12)/M32)/LN(1+E32/12),9999)))</f>
        <v/>
      </c>
      <c r="P32">
        <f>Q32+P31</f>
        <v/>
      </c>
      <c r="Q32">
        <f>IF(N32&lt;=0,0,IF(E32=0,IF(F32&gt;0,N32/F32,0),IFERROR(-LN(1-N32*(E32/12)/F32)/LN(1+E32/12),0)))</f>
        <v/>
      </c>
    </row>
    <row r="33">
      <c r="B33" s="29" t="n">
        <v>6</v>
      </c>
      <c r="C33" s="11">
        <f>IFERROR(INDEX($C$8:$C$14,MATCH($B33,$L$8:$L$14,0)),"—")</f>
        <v/>
      </c>
      <c r="D33" s="63">
        <f>IFERROR(INDEX($E$8:$E$14,MATCH($B33,$L$8:$L$14,0)),0)</f>
        <v/>
      </c>
      <c r="E33" s="48">
        <f>IFERROR(INDEX($F$8:$F$14,MATCH($B33,$L$8:$L$14,0)),0)</f>
        <v/>
      </c>
      <c r="F33" s="63">
        <f>IF(D33&lt;=0,0,M33+$E$24+SUM($M$28:M32))</f>
        <v/>
      </c>
      <c r="G33" s="74">
        <f>IF(D33&lt;=0,"",IF(N33&lt;=0,"se paga sola",Q33))</f>
        <v/>
      </c>
      <c r="H33" s="74">
        <f>IF(D33&lt;=0,0,IF(N33&lt;=0,O33,P33))</f>
        <v/>
      </c>
      <c r="M33">
        <f>IFERROR(INDEX($G$8:$G$14,MATCH($B33,$L$8:$L$14,0)),0)</f>
        <v/>
      </c>
      <c r="N33">
        <f>IF(D33&lt;=0,0,IF(O33&lt;=P32,0,IF(E33=0,MAX(0,D33-M33*P32),MAX(0,D33*(1+E33/12)^P32-M33*((1+E33/12)^P32-1)/(E33/12)))))</f>
        <v/>
      </c>
      <c r="O33">
        <f>IF(D33&lt;=0,0,IF(E33=0,IF(M33&gt;0,D33/M33,9999),IFERROR(-LN(1-D33*(E33/12)/M33)/LN(1+E33/12),9999)))</f>
        <v/>
      </c>
      <c r="P33">
        <f>Q33+P32</f>
        <v/>
      </c>
      <c r="Q33">
        <f>IF(N33&lt;=0,0,IF(E33=0,IF(F33&gt;0,N33/F33,0),IFERROR(-LN(1-N33*(E33/12)/F33)/LN(1+E33/12),0)))</f>
        <v/>
      </c>
    </row>
    <row r="34">
      <c r="B34" s="30" t="n">
        <v>7</v>
      </c>
      <c r="C34" s="8">
        <f>IFERROR(INDEX($C$8:$C$14,MATCH($B34,$L$8:$L$14,0)),"—")</f>
        <v/>
      </c>
      <c r="D34" s="62">
        <f>IFERROR(INDEX($E$8:$E$14,MATCH($B34,$L$8:$L$14,0)),0)</f>
        <v/>
      </c>
      <c r="E34" s="47">
        <f>IFERROR(INDEX($F$8:$F$14,MATCH($B34,$L$8:$L$14,0)),0)</f>
        <v/>
      </c>
      <c r="F34" s="62">
        <f>IF(D34&lt;=0,0,M34+$E$24+SUM($M$28:M33))</f>
        <v/>
      </c>
      <c r="G34" s="73">
        <f>IF(D34&lt;=0,"",IF(N34&lt;=0,"se paga sola",Q34))</f>
        <v/>
      </c>
      <c r="H34" s="73">
        <f>IF(D34&lt;=0,0,IF(N34&lt;=0,O34,P34))</f>
        <v/>
      </c>
      <c r="M34">
        <f>IFERROR(INDEX($G$8:$G$14,MATCH($B34,$L$8:$L$14,0)),0)</f>
        <v/>
      </c>
      <c r="N34">
        <f>IF(D34&lt;=0,0,IF(O34&lt;=P33,0,IF(E34=0,MAX(0,D34-M34*P33),MAX(0,D34*(1+E34/12)^P33-M34*((1+E34/12)^P33-1)/(E34/12)))))</f>
        <v/>
      </c>
      <c r="O34">
        <f>IF(D34&lt;=0,0,IF(E34=0,IF(M34&gt;0,D34/M34,9999),IFERROR(-LN(1-D34*(E34/12)/M34)/LN(1+E34/12),9999)))</f>
        <v/>
      </c>
      <c r="P34">
        <f>Q34+P33</f>
        <v/>
      </c>
      <c r="Q34">
        <f>IF(N34&lt;=0,0,IF(E34=0,IF(F34&gt;0,N34/F34,0),IFERROR(-LN(1-N34*(E34/12)/F34)/LN(1+E34/12),0)))</f>
        <v/>
      </c>
    </row>
    <row r="35" ht="32" customHeight="1">
      <c r="B35" s="49" t="inlineStr">
        <is>
          <t>CON ESTE PLAN, QUEDAS LIBRE DE TODAS TUS DEUDAS EN:</t>
        </is>
      </c>
      <c r="C35" s="32" t="n"/>
      <c r="D35" s="32" t="n"/>
      <c r="E35" s="32" t="n"/>
      <c r="F35" s="32" t="n"/>
      <c r="G35" s="75">
        <f>MAX(H28:H34)</f>
        <v/>
      </c>
      <c r="H35" s="32" t="n"/>
    </row>
    <row r="36" ht="26" customHeight="1">
      <c r="B36" s="72" t="inlineStr">
        <is>
          <t>Estimación con tus cifras actuales. Supone que mantienes el aporte extra cada mes y que no adquieres deuda nueva. Si una deuda alcanza a pagarse sola con su cuota mínima antes de su turno, la tabla lo indica.</t>
        </is>
      </c>
    </row>
    <row r="38" ht="52" customHeight="1">
      <c r="B38" s="36">
        <f>"TU SITUACIÓN: de cada 100 pesos que ganas, " &amp; TEXT(E20*100,"0") &amp; " se van en pagar deudas (" &amp; E21 &amp; "). TU PLAN: empieza por " &amp; C28 &amp; " y aplícale " &amp; TEXT(F28,"$#,##0") &amp; " al mes; quedaría liquidada hacia el mes " &amp; TEXT(H28,"0") &amp; ". Siguiendo el orden completo quedas libre en unos " &amp; TEXT(G35,"0") &amp; " meses. QUÉ HACER: " &amp; IF(E20&gt;0.4,"Tu nivel de deuda es alto. Antes de pensar en invertir, congela las tarjetas y destina a este plan todo el excedente que puedas.",IF(E20&gt;0.25,"Vas manejable pero ajustado. Sube el aporte extra aunque sea poco: verás cómo bajan los meses en la tabla de arriba.","Tu deuda está bajo control. Cuando termines este plan, redirige esa misma cuota a inversión: ya estás acostumbrado a no tener ese dinero."))</f>
        <v/>
      </c>
    </row>
  </sheetData>
  <mergeCells count="26">
    <mergeCell ref="F20:H20"/>
    <mergeCell ref="F18:H18"/>
    <mergeCell ref="B6:H6"/>
    <mergeCell ref="B5:H5"/>
    <mergeCell ref="B36:H36"/>
    <mergeCell ref="B19:D19"/>
    <mergeCell ref="B26:H26"/>
    <mergeCell ref="B4:H4"/>
    <mergeCell ref="B15:D15"/>
    <mergeCell ref="B3:H3"/>
    <mergeCell ref="B24:D24"/>
    <mergeCell ref="B20:D20"/>
    <mergeCell ref="B2:H2"/>
    <mergeCell ref="B25:D25"/>
    <mergeCell ref="B23:H23"/>
    <mergeCell ref="F25:H25"/>
    <mergeCell ref="G35:H35"/>
    <mergeCell ref="B17:H17"/>
    <mergeCell ref="F19:H19"/>
    <mergeCell ref="B1:H1"/>
    <mergeCell ref="B18:D18"/>
    <mergeCell ref="B38:H38"/>
    <mergeCell ref="B21:D21"/>
    <mergeCell ref="F21:H21"/>
    <mergeCell ref="F24:H24"/>
    <mergeCell ref="B35:F35"/>
  </mergeCells>
  <conditionalFormatting sqref="E21">
    <cfRule type="cellIs" priority="1" operator="equal" dxfId="0" stopIfTrue="1">
      <formula>"🟢 ÓPTIMO (&lt;30% - Nivel Saludable)"</formula>
    </cfRule>
    <cfRule type="cellIs" priority="2" operator="equal" dxfId="1" stopIfTrue="1">
      <formula>"🟡 PRECAUCIÓN (30%-40% - Límite Máximo)"</formula>
    </cfRule>
    <cfRule type="cellIs" priority="3" operator="equal" dxfId="2" stopIfTrue="1">
      <formula>"🔴 RIESGO CRÍTICO (&gt;40% - Sobreendeudamiento)"</formula>
    </cfRule>
  </conditionalFormatting>
  <dataValidations count="1">
    <dataValidation sqref="E25" showDropDown="0" showInputMessage="0" showErrorMessage="0" allowBlank="1" errorTitle="Opción No Válida" error="Por favor seleccione una opción válida de la lista desplegable." type="list">
      <formula1>"Bola de nieve,Avalancha"</formula1>
    </dataValidation>
  </dataValidation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DOC-KF-05 | Versión: 3.0&amp;RPágina &amp;P de &amp;N</oddFooter>
    <evenHeader/>
    <evenFooter/>
    <firstHeader/>
    <firstFooter/>
  </headerFooter>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fitToPage="1"/>
  </sheetPr>
  <dimension ref="B1:G59"/>
  <sheetViews>
    <sheetView showGridLines="0" view="pageLayout" workbookViewId="0">
      <selection activeCell="A1" sqref="A1"/>
    </sheetView>
  </sheetViews>
  <sheetFormatPr baseColWidth="8" defaultRowHeight="15"/>
  <cols>
    <col width="3" customWidth="1" min="1" max="1"/>
    <col width="24" customWidth="1" min="2" max="2"/>
    <col width="24" customWidth="1" min="3" max="3"/>
    <col width="26" customWidth="1" min="4" max="4"/>
    <col width="22" customWidth="1" min="5" max="5"/>
    <col width="18" customWidth="1" min="6" max="6"/>
    <col width="24" customWidth="1" min="7" max="7"/>
  </cols>
  <sheetData>
    <row r="1" ht="24" customHeight="1">
      <c r="B1" s="20" t="inlineStr">
        <is>
          <t>METODOLOGÍA M.A.E.S.T.R.O. FINANCIERO XPROF</t>
        </is>
      </c>
    </row>
    <row r="2" ht="22" customHeight="1">
      <c r="B2" s="21" t="inlineStr">
        <is>
          <t>PRESUPUESTO DE PUESTA EN MARCHA, COSTEO UNITARIO, PRICING Y PUNTO DE EQUILIBRIO | Código: DOC-KF-06</t>
        </is>
      </c>
    </row>
    <row r="3" ht="30" customHeight="1">
      <c r="B3" s="22" t="inlineStr">
        <is>
          <t>Propósito: Calcular el capital inicial necesario para lanzar un proyecto o emprendimiento, costear productos/servicios y fijar precios con márgenes sostenibles.</t>
        </is>
      </c>
    </row>
    <row r="4" ht="18" customHeight="1">
      <c r="B4" s="23" t="inlineStr">
        <is>
          <t>Entidad Asesora: XPROF | Versión: 3.0 | Autor: Helman Carrillo | Válido para: Personas, Emprendedores y Familias</t>
        </is>
      </c>
    </row>
    <row r="5" ht="20" customHeight="1">
      <c r="B5" s="24" t="inlineStr">
        <is>
          <t>EN UNA FRASE:   Si tienes o quieres un negocio: cuánto necesitas para arrancar y cuánto vender para no perder.</t>
        </is>
      </c>
      <c r="C5" s="25" t="n"/>
      <c r="D5" s="25" t="n"/>
      <c r="E5" s="25" t="n"/>
      <c r="F5" s="25" t="n"/>
      <c r="G5" s="25" t="n"/>
    </row>
    <row r="6" ht="24" customHeight="1">
      <c r="B6" s="4" t="inlineStr">
        <is>
          <t>1. PRESUPUESTO DE PUESTA EN MARCHA (STARTUP CAPITAL / CAPEX + CAPITAL DE TRABAJO)</t>
        </is>
      </c>
      <c r="C6" s="5" t="n"/>
      <c r="D6" s="5" t="n"/>
      <c r="E6" s="5" t="n"/>
      <c r="F6" s="5" t="n"/>
      <c r="G6" s="5" t="n"/>
    </row>
    <row r="7" ht="20" customHeight="1">
      <c r="B7" s="26" t="inlineStr">
        <is>
          <t>Rubro de Inversión</t>
        </is>
      </c>
      <c r="C7" s="26" t="inlineStr">
        <is>
          <t>Concepto / Ítem de Puesta en Marcha</t>
        </is>
      </c>
      <c r="D7" s="26" t="n"/>
      <c r="E7" s="26" t="inlineStr">
        <is>
          <t>Monto Estimado ($)</t>
        </is>
      </c>
      <c r="F7" s="26" t="inlineStr">
        <is>
          <t>% Participación</t>
        </is>
      </c>
      <c r="G7" s="26" t="inlineStr">
        <is>
          <t>Frecuencia de Pago</t>
        </is>
      </c>
    </row>
    <row r="8" ht="21" customHeight="1">
      <c r="B8" s="8" t="inlineStr">
        <is>
          <t>Legal y Trámites</t>
        </is>
      </c>
      <c r="C8" s="8" t="inlineStr">
        <is>
          <t>Constitución de empresa, registro de marca y licencias</t>
        </is>
      </c>
      <c r="D8" s="27" t="n"/>
      <c r="E8" s="46" t="n">
        <v>2800000</v>
      </c>
      <c r="F8" s="47">
        <f>IF($E$14&gt;0, E8/$E$14, 0)</f>
        <v/>
      </c>
      <c r="G8" s="30" t="inlineStr">
        <is>
          <t>Única vez</t>
        </is>
      </c>
    </row>
    <row r="9" ht="21" customHeight="1">
      <c r="B9" s="11" t="inlineStr">
        <is>
          <t>Tecnología y Web</t>
        </is>
      </c>
      <c r="C9" s="11" t="inlineStr">
        <is>
          <t>Desarrollo de sitio web, plataforma e-commerce y software</t>
        </is>
      </c>
      <c r="D9" s="28" t="n"/>
      <c r="E9" s="46" t="n">
        <v>4500000</v>
      </c>
      <c r="F9" s="48">
        <f>IF($E$14&gt;0, E9/$E$14, 0)</f>
        <v/>
      </c>
      <c r="G9" s="29" t="inlineStr">
        <is>
          <t>Única vez</t>
        </is>
      </c>
    </row>
    <row r="10" ht="21" customHeight="1">
      <c r="B10" s="8" t="inlineStr">
        <is>
          <t>Infraestructura / Adecuación</t>
        </is>
      </c>
      <c r="C10" s="8" t="inlineStr">
        <is>
          <t>Adecuación de local, mobiliario de oficina y branding físico</t>
        </is>
      </c>
      <c r="D10" s="27" t="n"/>
      <c r="E10" s="46" t="n">
        <v>6000000</v>
      </c>
      <c r="F10" s="47">
        <f>IF($E$14&gt;0, E10/$E$14, 0)</f>
        <v/>
      </c>
      <c r="G10" s="30" t="inlineStr">
        <is>
          <t>Única vez</t>
        </is>
      </c>
    </row>
    <row r="11" ht="21" customHeight="1">
      <c r="B11" s="11" t="inlineStr">
        <is>
          <t>Equipos y Maquinaria</t>
        </is>
      </c>
      <c r="C11" s="11" t="inlineStr">
        <is>
          <t>Computadores de alto rendimiento y equipos de producción</t>
        </is>
      </c>
      <c r="D11" s="28" t="n"/>
      <c r="E11" s="46" t="n">
        <v>8500000</v>
      </c>
      <c r="F11" s="48">
        <f>IF($E$14&gt;0, E11/$E$14, 0)</f>
        <v/>
      </c>
      <c r="G11" s="29" t="inlineStr">
        <is>
          <t>Única vez</t>
        </is>
      </c>
    </row>
    <row r="12" ht="21" customHeight="1">
      <c r="B12" s="8" t="inlineStr">
        <is>
          <t>Marketing de Lanzamiento</t>
        </is>
      </c>
      <c r="C12" s="8" t="inlineStr">
        <is>
          <t>Campaña de publicidad inicial, branding e identidad</t>
        </is>
      </c>
      <c r="D12" s="27" t="n"/>
      <c r="E12" s="46" t="n">
        <v>3200000</v>
      </c>
      <c r="F12" s="47">
        <f>IF($E$14&gt;0, E12/$E$14, 0)</f>
        <v/>
      </c>
      <c r="G12" s="30" t="inlineStr">
        <is>
          <t>Única vez</t>
        </is>
      </c>
    </row>
    <row r="13" ht="21" customHeight="1">
      <c r="B13" s="11" t="inlineStr">
        <is>
          <t>Inventario Inicial</t>
        </is>
      </c>
      <c r="C13" s="11" t="inlineStr">
        <is>
          <t>Primera compra de stock, empaques y materias primas</t>
        </is>
      </c>
      <c r="D13" s="28" t="n"/>
      <c r="E13" s="46" t="n">
        <v>5000000</v>
      </c>
      <c r="F13" s="48">
        <f>IF($E$14&gt;0, E13/$E$14, 0)</f>
        <v/>
      </c>
      <c r="G13" s="29" t="inlineStr">
        <is>
          <t>Única vez</t>
        </is>
      </c>
    </row>
    <row r="14" ht="22" customHeight="1">
      <c r="B14" s="54" t="inlineStr">
        <is>
          <t>TOTAL GASTOS ÚNICOS DE INVERSIÓN INICIAL (CAPEX) ($):</t>
        </is>
      </c>
      <c r="C14" s="55" t="n"/>
      <c r="D14" s="55" t="n"/>
      <c r="E14" s="56">
        <f>SUM(E8:E13)</f>
        <v/>
      </c>
      <c r="F14" s="76">
        <f>SUM(F8:F13)</f>
        <v/>
      </c>
      <c r="G14" s="77" t="inlineStr"/>
    </row>
    <row r="15" ht="21" customHeight="1">
      <c r="B15" s="35" t="inlineStr">
        <is>
          <t>Gastos Fijos Operativos Mensuales Estimados (OPEX) ($):</t>
        </is>
      </c>
      <c r="C15" s="10" t="n"/>
      <c r="D15" s="10" t="n"/>
      <c r="E15" s="58" t="n">
        <v>4500000</v>
      </c>
      <c r="F15" s="71" t="inlineStr">
        <is>
          <t>Costos fijos mensuales mínimos de operación.</t>
        </is>
      </c>
      <c r="G15" s="10" t="n"/>
    </row>
    <row r="16" ht="21" customHeight="1">
      <c r="B16" s="40" t="inlineStr">
        <is>
          <t>Meses de Reserva de Capital de Trabajo Recomendados:</t>
        </is>
      </c>
      <c r="C16" s="7" t="n"/>
      <c r="D16" s="7" t="n"/>
      <c r="E16" s="13" t="n">
        <v>6</v>
      </c>
      <c r="F16" s="78" t="inlineStr">
        <is>
          <t>Colchón para alcanzar el punto de equilibrio (3 a 6 meses).</t>
        </is>
      </c>
      <c r="G16" s="7" t="n"/>
    </row>
    <row r="17" ht="24" customHeight="1">
      <c r="B17" s="49" t="inlineStr">
        <is>
          <t>CAPITAL TOTAL REQUERIDO DE PUESTA EN MARCHA ($):</t>
        </is>
      </c>
      <c r="C17" s="32" t="n"/>
      <c r="D17" s="32" t="n"/>
      <c r="E17" s="50">
        <f>E14+(E15*E16)</f>
        <v/>
      </c>
      <c r="F17" s="34" t="inlineStr">
        <is>
          <t>Inversión Inicial Total = CAPEX + (OPEX x Meses Reserva)</t>
        </is>
      </c>
      <c r="G17" s="32" t="n"/>
    </row>
    <row r="19" ht="24" customHeight="1">
      <c r="B19" s="4" t="inlineStr">
        <is>
          <t>2. INGENIERÍA DE PRECIOS, COSTEO UNITARIO Y MÁRGENES DE RENTABILIDAD</t>
        </is>
      </c>
      <c r="C19" s="5" t="n"/>
      <c r="D19" s="5" t="n"/>
      <c r="E19" s="5" t="n"/>
      <c r="F19" s="5" t="n"/>
      <c r="G19" s="5" t="n"/>
    </row>
    <row r="20" ht="21" customHeight="1">
      <c r="B20" s="40" t="inlineStr">
        <is>
          <t>Costo Directo de Materiales / Insumos por Unidad ($):</t>
        </is>
      </c>
      <c r="C20" s="7" t="n"/>
      <c r="D20" s="7" t="n"/>
      <c r="E20" s="79" t="n">
        <v>120000</v>
      </c>
      <c r="F20" s="16" t="inlineStr">
        <is>
          <t>Materia prima, empaque o insumos directos consumidos.</t>
        </is>
      </c>
      <c r="G20" s="7" t="n"/>
    </row>
    <row r="21" ht="21" customHeight="1">
      <c r="B21" s="35" t="inlineStr">
        <is>
          <t>Costo de Mano de Obra Directa por Unidad ($):</t>
        </is>
      </c>
      <c r="C21" s="10" t="n"/>
      <c r="D21" s="10" t="n"/>
      <c r="E21" s="80" t="n">
        <v>80000</v>
      </c>
      <c r="F21" s="18" t="inlineStr">
        <is>
          <t>Horas directas de producción o prestación del servicio.</t>
        </is>
      </c>
      <c r="G21" s="10" t="n"/>
    </row>
    <row r="22" ht="21" customHeight="1">
      <c r="B22" s="40" t="inlineStr">
        <is>
          <t>Costos Indirectos y Comisiones de Venta Asignadas ($):</t>
        </is>
      </c>
      <c r="C22" s="7" t="n"/>
      <c r="D22" s="7" t="n"/>
      <c r="E22" s="79" t="n">
        <v>25000</v>
      </c>
      <c r="F22" s="16" t="inlineStr">
        <is>
          <t>Comisiones de pasarela de pago, envíos y otros indirectos.</t>
        </is>
      </c>
      <c r="G22" s="7" t="n"/>
    </row>
    <row r="23" ht="21" customHeight="1">
      <c r="B23" s="54" t="inlineStr">
        <is>
          <t>COSTO TOTAL UNITARIO DE PRODUCCIÓN / SERVICIO ($):</t>
        </is>
      </c>
      <c r="C23" s="55" t="n"/>
      <c r="D23" s="55" t="n"/>
      <c r="E23" s="56">
        <f>SUM(E20:E22)</f>
        <v/>
      </c>
      <c r="F23" s="57" t="inlineStr">
        <is>
          <t>Costo base real por unidad entregada (COGS).</t>
        </is>
      </c>
      <c r="G23" s="55" t="n"/>
    </row>
    <row r="24" ht="21" customHeight="1">
      <c r="B24" s="40" t="inlineStr">
        <is>
          <t>Margen de Ganancia Bruto Deseado sobre Precio (%):</t>
        </is>
      </c>
      <c r="C24" s="7" t="n"/>
      <c r="D24" s="7" t="n"/>
      <c r="E24" s="81" t="n">
        <v>0.5</v>
      </c>
      <c r="F24" s="16" t="inlineStr">
        <is>
          <t>Porcentaje de utilidad bruta sobre el precio final de venta.</t>
        </is>
      </c>
      <c r="G24" s="7" t="n"/>
    </row>
    <row r="25" ht="21" customHeight="1">
      <c r="B25" s="54" t="inlineStr">
        <is>
          <t>PRECIO DE VENTA SUGERIDO (Por Fórmula de Margen) ($):</t>
        </is>
      </c>
      <c r="C25" s="55" t="n"/>
      <c r="D25" s="55" t="n"/>
      <c r="E25" s="56">
        <f>IF(E24&lt;1, E23/(1-E24), 0)</f>
        <v/>
      </c>
      <c r="F25" s="57" t="inlineStr">
        <is>
          <t>Precio de Venta = Costo Unitario / (1 - Margen Deseado).</t>
        </is>
      </c>
      <c r="G25" s="55" t="n"/>
    </row>
    <row r="26" ht="21" customHeight="1">
      <c r="B26" s="40" t="inlineStr">
        <is>
          <t>MARKUP CALCULADO SOBRE EL COSTO (%):</t>
        </is>
      </c>
      <c r="C26" s="7" t="n"/>
      <c r="D26" s="7" t="n"/>
      <c r="E26" s="81">
        <f>IF(E23&gt;0, (E25-E23)/E23, 0)</f>
        <v/>
      </c>
      <c r="F26" s="16" t="inlineStr">
        <is>
          <t>Multiplicador o margen sobre el costo directo.</t>
        </is>
      </c>
      <c r="G26" s="7" t="n"/>
    </row>
    <row r="28" ht="24" customHeight="1">
      <c r="B28" s="4" t="inlineStr">
        <is>
          <t>3. CALCULADORA DE PUNTO DE EQUILIBRIO (BREAK-EVEN POINT)</t>
        </is>
      </c>
      <c r="C28" s="5" t="n"/>
      <c r="D28" s="5" t="n"/>
      <c r="E28" s="5" t="n"/>
      <c r="F28" s="5" t="n"/>
      <c r="G28" s="5" t="n"/>
    </row>
    <row r="29" ht="21" customHeight="1">
      <c r="B29" s="35" t="inlineStr">
        <is>
          <t>Costos Fijos Operativos Mensuales Totales ($):</t>
        </is>
      </c>
      <c r="C29" s="10" t="n"/>
      <c r="D29" s="10" t="n"/>
      <c r="E29" s="80">
        <f>E15</f>
        <v/>
      </c>
      <c r="F29" s="18" t="inlineStr">
        <is>
          <t>Alquiler, nómina fija, servicios y software recurrente.</t>
        </is>
      </c>
      <c r="G29" s="10" t="n"/>
    </row>
    <row r="30" ht="21" customHeight="1">
      <c r="B30" s="40" t="inlineStr">
        <is>
          <t>Precio de Venta Unitario Establecido ($):</t>
        </is>
      </c>
      <c r="C30" s="7" t="n"/>
      <c r="D30" s="7" t="n"/>
      <c r="E30" s="79">
        <f>E25</f>
        <v/>
      </c>
      <c r="F30" s="16" t="inlineStr">
        <is>
          <t>Precio final facturado por unidad de producto/servicio.</t>
        </is>
      </c>
      <c r="G30" s="7" t="n"/>
    </row>
    <row r="31" ht="21" customHeight="1">
      <c r="B31" s="35" t="inlineStr">
        <is>
          <t>Costo Variable Unitario ($):</t>
        </is>
      </c>
      <c r="C31" s="10" t="n"/>
      <c r="D31" s="10" t="n"/>
      <c r="E31" s="80">
        <f>E23</f>
        <v/>
      </c>
      <c r="F31" s="18" t="inlineStr">
        <is>
          <t>Costo directo incurrido por cada unidad vendida.</t>
        </is>
      </c>
      <c r="G31" s="10" t="n"/>
    </row>
    <row r="32" ht="21" customHeight="1">
      <c r="B32" s="40" t="inlineStr">
        <is>
          <t>MARGEN DE CONTRIBUCIÓN UNITARIO ($):</t>
        </is>
      </c>
      <c r="C32" s="7" t="n"/>
      <c r="D32" s="7" t="n"/>
      <c r="E32" s="79">
        <f>E30-E31</f>
        <v/>
      </c>
      <c r="F32" s="16" t="inlineStr">
        <is>
          <t>Ganancia bruta que aporta cada venta para cubrir fijos.</t>
        </is>
      </c>
      <c r="G32" s="7" t="n"/>
    </row>
    <row r="33" ht="21" customHeight="1">
      <c r="B33" s="35" t="inlineStr">
        <is>
          <t>MARGEN DE CONTRIBUCIÓN EN PORCENTAJE (%):</t>
        </is>
      </c>
      <c r="C33" s="10" t="n"/>
      <c r="D33" s="10" t="n"/>
      <c r="E33" s="82">
        <f>IF(E30&gt;0, E32/E30, 0)</f>
        <v/>
      </c>
      <c r="F33" s="18" t="inlineStr">
        <is>
          <t>Porcentaje del precio que cubre costos fijos.</t>
        </is>
      </c>
      <c r="G33" s="10" t="n"/>
    </row>
    <row r="34" ht="21" customHeight="1">
      <c r="B34" s="54" t="inlineStr">
        <is>
          <t>PUNTO DE EQUILIBRIO EN UNIDADES (Unidades a Vender/Mes):</t>
        </is>
      </c>
      <c r="C34" s="55" t="n"/>
      <c r="D34" s="55" t="n"/>
      <c r="E34" s="83">
        <f>IF(E32&gt;0, E29/E32, 0)</f>
        <v/>
      </c>
      <c r="F34" s="57" t="inlineStr">
        <is>
          <t>Mínimo de unidades mensuales para no ganar ni perder.</t>
        </is>
      </c>
      <c r="G34" s="55" t="n"/>
    </row>
    <row r="35" ht="21" customHeight="1">
      <c r="B35" s="54" t="inlineStr">
        <is>
          <t>PUNTO DE EQUILIBRIO EN FACTURACIÓN MENSUAL ($):</t>
        </is>
      </c>
      <c r="C35" s="55" t="n"/>
      <c r="D35" s="55" t="n"/>
      <c r="E35" s="56">
        <f>IF(E33&gt;0, E29/E33, 0)</f>
        <v/>
      </c>
      <c r="F35" s="57" t="inlineStr">
        <is>
          <t>Ventas mensuales mínimas requeridas en dinero ($).</t>
        </is>
      </c>
      <c r="G35" s="55" t="n"/>
    </row>
    <row r="37" ht="45" customHeight="1">
      <c r="B37" s="36">
        <f>"DIAGNÓSTICO DE VIABILIDAD OPERATIVA: Para cubrir tus costos fijos de " &amp; TEXT(E29,"$#,##0") &amp; " debes vender mínimo " &amp; TEXT(E34,"0") &amp; " unidades al mes, equivalentes a una facturación de " &amp; TEXT(E35,"$#,##0") &amp; ". Tu margen bruto unitario es del " &amp; TEXT(E33,"0.0%") &amp; ". CONSEJO CONSULTIVO: Si el mercado no absorbe " &amp; TEXT(E34,"0") &amp; " unidades, renegocia costos fijos o aumenta el valor percibido para elevar el precio."</f>
        <v/>
      </c>
    </row>
    <row r="39" ht="24" customHeight="1">
      <c r="B39" s="4" t="inlineStr">
        <is>
          <t>4. PUNTO DE EQUILIBRIO MULTIPRODUCTO (MEZCLA DE VENTAS)</t>
        </is>
      </c>
      <c r="C39" s="5" t="n"/>
      <c r="D39" s="5" t="n"/>
      <c r="E39" s="5" t="n"/>
      <c r="F39" s="5" t="n"/>
      <c r="G39" s="5" t="n"/>
    </row>
    <row r="40" ht="28" customHeight="1">
      <c r="B40" s="72" t="inlineStr">
        <is>
          <t>Úsala si vendes más de una línea de producto/servicio con precios y costos distintos. Ingresa hasta 4 líneas con su % de participación en las ventas totales (la mezcla debe sumar 100%).</t>
        </is>
      </c>
    </row>
    <row r="41" ht="20" customHeight="1">
      <c r="B41" s="26" t="inlineStr">
        <is>
          <t>Línea de Producto/Servicio</t>
        </is>
      </c>
      <c r="C41" s="26" t="inlineStr">
        <is>
          <t>Precio de Venta ($)</t>
        </is>
      </c>
      <c r="D41" s="26" t="inlineStr">
        <is>
          <t>Costo Variable Unit. ($)</t>
        </is>
      </c>
      <c r="E41" s="26" t="inlineStr">
        <is>
          <t>Margen Contrib. ($)</t>
        </is>
      </c>
      <c r="F41" s="26" t="inlineStr">
        <is>
          <t>Margen Contrib. (%)</t>
        </is>
      </c>
      <c r="G41" s="26" t="inlineStr">
        <is>
          <t>% Mezcla de Ventas</t>
        </is>
      </c>
    </row>
    <row r="42" ht="21" customHeight="1">
      <c r="B42" s="8" t="inlineStr">
        <is>
          <t>Producto/Servicio Principal</t>
        </is>
      </c>
      <c r="C42" s="62" t="n">
        <v>250000</v>
      </c>
      <c r="D42" s="62" t="n">
        <v>120000</v>
      </c>
      <c r="E42" s="62">
        <f>C42-D42</f>
        <v/>
      </c>
      <c r="F42" s="47">
        <f>IF(C42&gt;0,E42/C42,0)</f>
        <v/>
      </c>
      <c r="G42" s="47" t="n">
        <v>0.5</v>
      </c>
    </row>
    <row r="43" ht="21" customHeight="1">
      <c r="B43" s="11" t="inlineStr">
        <is>
          <t>Línea Secundaria / Complementaria</t>
        </is>
      </c>
      <c r="C43" s="63" t="n">
        <v>150000</v>
      </c>
      <c r="D43" s="63" t="n">
        <v>60000</v>
      </c>
      <c r="E43" s="63">
        <f>C43-D43</f>
        <v/>
      </c>
      <c r="F43" s="48">
        <f>IF(C43&gt;0,E43/C43,0)</f>
        <v/>
      </c>
      <c r="G43" s="48" t="n">
        <v>0.3</v>
      </c>
    </row>
    <row r="44" ht="21" customHeight="1">
      <c r="B44" s="8" t="inlineStr">
        <is>
          <t>Servicio Premium / Personalizado</t>
        </is>
      </c>
      <c r="C44" s="62" t="n">
        <v>450000</v>
      </c>
      <c r="D44" s="62" t="n">
        <v>180000</v>
      </c>
      <c r="E44" s="62">
        <f>C44-D44</f>
        <v/>
      </c>
      <c r="F44" s="47">
        <f>IF(C44&gt;0,E44/C44,0)</f>
        <v/>
      </c>
      <c r="G44" s="47" t="n">
        <v>0.15</v>
      </c>
    </row>
    <row r="45" ht="21" customHeight="1">
      <c r="B45" s="11" t="inlineStr">
        <is>
          <t>Otros / Adicionales</t>
        </is>
      </c>
      <c r="C45" s="63" t="n">
        <v>80000</v>
      </c>
      <c r="D45" s="63" t="n">
        <v>35000</v>
      </c>
      <c r="E45" s="63">
        <f>C45-D45</f>
        <v/>
      </c>
      <c r="F45" s="48">
        <f>IF(C45&gt;0,E45/C45,0)</f>
        <v/>
      </c>
      <c r="G45" s="48" t="n">
        <v>0.05</v>
      </c>
    </row>
    <row r="46" ht="21" customHeight="1">
      <c r="B46" s="40" t="inlineStr">
        <is>
          <t>SUMA DE % DE MEZCLA DE VENTAS (debe ser 100%):</t>
        </is>
      </c>
      <c r="C46" s="7" t="n"/>
      <c r="D46" s="7" t="n"/>
      <c r="E46" s="66">
        <f>SUM(G42:G45)</f>
        <v/>
      </c>
      <c r="F46" s="6">
        <f>IF(ABS(SUM(G42:G45)-1)&lt;0.001,"✅ Mezcla correcta","⚠️ Ajusta los % para que sumen 100%")</f>
        <v/>
      </c>
      <c r="G46" s="7" t="n"/>
    </row>
    <row r="47" ht="21" customHeight="1">
      <c r="B47" s="35" t="inlineStr">
        <is>
          <t>MARGEN DE CONTRIBUCIÓN PONDERADO DE LA MEZCLA (%):</t>
        </is>
      </c>
      <c r="C47" s="10" t="n"/>
      <c r="D47" s="10" t="n"/>
      <c r="E47" s="84">
        <f>SUMPRODUCT(F42:F45,G42:G45)</f>
        <v/>
      </c>
      <c r="F47" s="71" t="inlineStr">
        <is>
          <t>Promedio del margen de cada línea, ponderado por su peso en las ventas.</t>
        </is>
      </c>
      <c r="G47" s="10" t="n"/>
    </row>
    <row r="48" ht="21" customHeight="1">
      <c r="B48" s="40" t="inlineStr">
        <is>
          <t>Costos Fijos Operativos Mensuales Totales ($):</t>
        </is>
      </c>
      <c r="C48" s="7" t="n"/>
      <c r="D48" s="7" t="n"/>
      <c r="E48" s="85">
        <f>E15</f>
        <v/>
      </c>
      <c r="F48" s="78" t="inlineStr">
        <is>
          <t>Mismo costo fijo mensual usado en la sección 3 (producto único).</t>
        </is>
      </c>
      <c r="G48" s="7" t="n"/>
    </row>
    <row r="49" ht="24" customHeight="1">
      <c r="B49" s="49" t="inlineStr">
        <is>
          <t>PUNTO DE EQUILIBRIO MULTIPRODUCTO EN FACTURACIÓN MENSUAL ($):</t>
        </is>
      </c>
      <c r="C49" s="32" t="n"/>
      <c r="D49" s="32" t="n"/>
      <c r="E49" s="86">
        <f>IFERROR(E48/E47,0)</f>
        <v/>
      </c>
      <c r="F49" s="87" t="inlineStr">
        <is>
          <t>Ventas totales mínimas al mes (todas las líneas) para no perder dinero.</t>
        </is>
      </c>
      <c r="G49" s="32" t="n"/>
    </row>
    <row r="51" ht="22" customHeight="1">
      <c r="B51" s="4" t="inlineStr">
        <is>
          <t>UNIDADES MÍNIMAS MENSUALES POR LÍNEA EN EL PUNTO DE EQUILIBRIO</t>
        </is>
      </c>
      <c r="C51" s="4" t="n"/>
      <c r="D51" s="4" t="n"/>
      <c r="E51" s="4" t="n"/>
      <c r="F51" s="4" t="n"/>
      <c r="G51" s="4" t="n"/>
    </row>
    <row r="52" ht="20" customHeight="1">
      <c r="B52" s="26" t="inlineStr">
        <is>
          <t>Línea de Producto/Servicio</t>
        </is>
      </c>
      <c r="C52" s="26" t="inlineStr">
        <is>
          <t>% Mezcla de Ventas</t>
        </is>
      </c>
      <c r="D52" s="26" t="inlineStr">
        <is>
          <t>Unidades Mínimas Estimadas / Mes</t>
        </is>
      </c>
      <c r="E52" s="26" t="n"/>
      <c r="F52" s="26" t="n"/>
      <c r="G52" s="26" t="n"/>
    </row>
    <row r="53">
      <c r="B53" s="11">
        <f>B42</f>
        <v/>
      </c>
      <c r="C53" s="48">
        <f>G42</f>
        <v/>
      </c>
      <c r="D53" s="88">
        <f>IFERROR(($E$49*G42)/C42,0)</f>
        <v/>
      </c>
      <c r="E53" s="28" t="n"/>
      <c r="F53" s="28" t="n"/>
      <c r="G53" s="28" t="n"/>
    </row>
    <row r="54">
      <c r="B54" s="8">
        <f>B43</f>
        <v/>
      </c>
      <c r="C54" s="47">
        <f>G43</f>
        <v/>
      </c>
      <c r="D54" s="89">
        <f>IFERROR(($E$49*G43)/C43,0)</f>
        <v/>
      </c>
      <c r="E54" s="27" t="n"/>
      <c r="F54" s="27" t="n"/>
      <c r="G54" s="27" t="n"/>
    </row>
    <row r="55">
      <c r="B55" s="11">
        <f>B44</f>
        <v/>
      </c>
      <c r="C55" s="48">
        <f>G44</f>
        <v/>
      </c>
      <c r="D55" s="88">
        <f>IFERROR(($E$49*G44)/C44,0)</f>
        <v/>
      </c>
      <c r="E55" s="28" t="n"/>
      <c r="F55" s="28" t="n"/>
      <c r="G55" s="28" t="n"/>
    </row>
    <row r="56">
      <c r="B56" s="8">
        <f>B45</f>
        <v/>
      </c>
      <c r="C56" s="47">
        <f>G45</f>
        <v/>
      </c>
      <c r="D56" s="89">
        <f>IFERROR(($E$49*G45)/C45,0)</f>
        <v/>
      </c>
      <c r="E56" s="27" t="n"/>
      <c r="F56" s="27" t="n"/>
      <c r="G56" s="27" t="n"/>
    </row>
    <row r="59" ht="45" customHeight="1">
      <c r="B59" s="36">
        <f>"DIAGNÓSTICO DE MEZCLA DE PRODUCTOS: Con un margen de contribución ponderado del " &amp; TEXT(E47,"0.0%") &amp; ", tu negocio necesita facturar " &amp; TEXT(E49,"$#,##0") &amp; "/mes entre todas tus líneas para cubrir costos fijos. CONSEJO: " &amp; IF(E47&lt;0.3,"⚠️ Margen ponderado ajustado (&lt;30%). Revisa si puedes subir precio o bajar costo variable en tus líneas de menor margen, o inclinar la mezcla de ventas hacia las más rentables.","✅ Margen ponderado saludable. Prioriza el crecimiento comercial de las líneas con mayor Margen de Contribución (%) para maximizar la utilidad total.")</f>
        <v/>
      </c>
    </row>
  </sheetData>
  <mergeCells count="68">
    <mergeCell ref="B2:G2"/>
    <mergeCell ref="D56:G56"/>
    <mergeCell ref="B14:D14"/>
    <mergeCell ref="F29:G29"/>
    <mergeCell ref="F16:G16"/>
    <mergeCell ref="B23:D23"/>
    <mergeCell ref="B48:D48"/>
    <mergeCell ref="F25:G25"/>
    <mergeCell ref="F34:G34"/>
    <mergeCell ref="B1:G1"/>
    <mergeCell ref="B17:D17"/>
    <mergeCell ref="D55:G55"/>
    <mergeCell ref="B29:D29"/>
    <mergeCell ref="B34:D34"/>
    <mergeCell ref="B19:G19"/>
    <mergeCell ref="F21:G21"/>
    <mergeCell ref="D54:G54"/>
    <mergeCell ref="F24:G24"/>
    <mergeCell ref="C10:D10"/>
    <mergeCell ref="B28:G28"/>
    <mergeCell ref="F15:G15"/>
    <mergeCell ref="F30:G30"/>
    <mergeCell ref="B37:G37"/>
    <mergeCell ref="B49:D49"/>
    <mergeCell ref="F20:G20"/>
    <mergeCell ref="F33:G33"/>
    <mergeCell ref="B40:G40"/>
    <mergeCell ref="B30:D30"/>
    <mergeCell ref="F32:G32"/>
    <mergeCell ref="C9:D9"/>
    <mergeCell ref="B15:D15"/>
    <mergeCell ref="F26:G26"/>
    <mergeCell ref="F17:G17"/>
    <mergeCell ref="B24:D24"/>
    <mergeCell ref="B20:D20"/>
    <mergeCell ref="B6:G6"/>
    <mergeCell ref="B33:D33"/>
    <mergeCell ref="F35:G35"/>
    <mergeCell ref="C12:D12"/>
    <mergeCell ref="B51:G51"/>
    <mergeCell ref="F47:G47"/>
    <mergeCell ref="B5:G5"/>
    <mergeCell ref="C11:D11"/>
    <mergeCell ref="B32:D32"/>
    <mergeCell ref="F23:G23"/>
    <mergeCell ref="B35:D35"/>
    <mergeCell ref="B26:D26"/>
    <mergeCell ref="F31:G31"/>
    <mergeCell ref="B4:G4"/>
    <mergeCell ref="F46:G46"/>
    <mergeCell ref="F22:G22"/>
    <mergeCell ref="D52:G52"/>
    <mergeCell ref="B25:D25"/>
    <mergeCell ref="B47:D47"/>
    <mergeCell ref="B16:D16"/>
    <mergeCell ref="C8:D8"/>
    <mergeCell ref="B3:G3"/>
    <mergeCell ref="C7:D7"/>
    <mergeCell ref="F48:G48"/>
    <mergeCell ref="B31:D31"/>
    <mergeCell ref="B46:D46"/>
    <mergeCell ref="D53:G53"/>
    <mergeCell ref="B22:D22"/>
    <mergeCell ref="B59:G59"/>
    <mergeCell ref="F49:G49"/>
    <mergeCell ref="C13:D13"/>
    <mergeCell ref="B21:D21"/>
    <mergeCell ref="B39:G39"/>
  </mergeCells>
  <conditionalFormatting sqref="F46:G46">
    <cfRule type="cellIs" priority="1" operator="equal" dxfId="0" stopIfTrue="1">
      <formula>"✅ Mezcla correcta"</formula>
    </cfRule>
    <cfRule type="cellIs" priority="2" operator="equal" dxfId="1" stopIfTrue="1">
      <formula>"N/A"</formula>
    </cfRule>
    <cfRule type="cellIs" priority="3" operator="equal" dxfId="2" stopIfTrue="1">
      <formula>"⚠️ Ajusta los % para que sumen 100%"</formula>
    </cfRule>
  </conditionalFormatting>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DOC-KF-06 | Versión: 3.0&amp;RPágina &amp;P de &amp;N</oddFooter>
    <evenHeader/>
    <evenFooter/>
    <firstHeader/>
    <firstFooter/>
  </headerFooter>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fitToPage="1"/>
  </sheetPr>
  <dimension ref="B1:P26"/>
  <sheetViews>
    <sheetView showGridLines="0" view="pageLayout" workbookViewId="0">
      <selection activeCell="A1" sqref="A1"/>
    </sheetView>
  </sheetViews>
  <sheetFormatPr baseColWidth="8" defaultRowHeight="15"/>
  <cols>
    <col width="3" customWidth="1" min="1" max="1"/>
    <col width="18" customWidth="1" min="2" max="2"/>
    <col width="28"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8" customWidth="1" min="16" max="16"/>
  </cols>
  <sheetData>
    <row r="1" ht="24" customHeight="1">
      <c r="B1" s="20" t="inlineStr">
        <is>
          <t>METODOLOGÍA M.A.E.S.T.R.O. FINANCIERO XPROF</t>
        </is>
      </c>
    </row>
    <row r="2" ht="22" customHeight="1">
      <c r="B2" s="21" t="inlineStr">
        <is>
          <t>MATRIZ DE FLUJO DE CAJA MAESTRO PROYECTADO A 12 MESES Y CONTROL DE LIQUIDEZ | Código: DOC-KF-07</t>
        </is>
      </c>
    </row>
    <row r="3" ht="30" customHeight="1">
      <c r="B3" s="22" t="inlineStr">
        <is>
          <t>Propósito: Monitorear las entradas y salidas reales de efectivo mes a mes, anticipar déficits de caja y blindar la supervivencia financiera.</t>
        </is>
      </c>
    </row>
    <row r="4" ht="18" customHeight="1">
      <c r="B4" s="23" t="inlineStr">
        <is>
          <t>Entidad Asesora: XPROF | Versión: 3.0 | Autor: Helman Carrillo | Válido para: Personas, Emprendedores y Familias</t>
        </is>
      </c>
    </row>
    <row r="5" ht="20" customHeight="1">
      <c r="B5" s="24" t="inlineStr">
        <is>
          <t>EN UNA FRASE:   Proyecta los próximos 12 meses. Sirve para ver con anticipación en qué mes te quedarías sin efectivo.</t>
        </is>
      </c>
      <c r="C5" s="25" t="n"/>
      <c r="D5" s="25" t="n"/>
      <c r="E5" s="25" t="n"/>
      <c r="F5" s="25" t="n"/>
      <c r="G5" s="25" t="n"/>
      <c r="H5" s="25" t="n"/>
      <c r="I5" s="25" t="n"/>
      <c r="J5" s="25" t="n"/>
      <c r="K5" s="25" t="n"/>
      <c r="L5" s="25" t="n"/>
      <c r="M5" s="25" t="n"/>
      <c r="N5" s="25" t="n"/>
      <c r="O5" s="25" t="n"/>
      <c r="P5" s="25" t="n"/>
    </row>
    <row r="6" ht="24" customHeight="1">
      <c r="B6" s="4" t="inlineStr">
        <is>
          <t>MATRIZ DINÁMICA DE FLUJO DE CAJA PROYECTADO A 12 MESES ($)</t>
        </is>
      </c>
      <c r="C6" s="5" t="n"/>
      <c r="D6" s="5" t="n"/>
      <c r="E6" s="5" t="n"/>
      <c r="F6" s="5" t="n"/>
      <c r="G6" s="5" t="n"/>
      <c r="H6" s="5" t="n"/>
      <c r="I6" s="5" t="n"/>
      <c r="J6" s="5" t="n"/>
      <c r="K6" s="5" t="n"/>
      <c r="L6" s="5" t="n"/>
      <c r="M6" s="5" t="n"/>
      <c r="N6" s="5" t="n"/>
      <c r="O6" s="5" t="n"/>
      <c r="P6" s="5" t="n"/>
    </row>
    <row r="7" ht="20" customHeight="1">
      <c r="B7" s="26" t="inlineStr">
        <is>
          <t>Categoría</t>
        </is>
      </c>
      <c r="C7" s="26" t="inlineStr">
        <is>
          <t>Línea de Flujo / Concepto</t>
        </is>
      </c>
      <c r="D7" s="26" t="inlineStr">
        <is>
          <t>Mes 1</t>
        </is>
      </c>
      <c r="E7" s="26" t="inlineStr">
        <is>
          <t>Mes 2</t>
        </is>
      </c>
      <c r="F7" s="26" t="inlineStr">
        <is>
          <t>Mes 3</t>
        </is>
      </c>
      <c r="G7" s="26" t="inlineStr">
        <is>
          <t>Mes 4</t>
        </is>
      </c>
      <c r="H7" s="26" t="inlineStr">
        <is>
          <t>Mes 5</t>
        </is>
      </c>
      <c r="I7" s="26" t="inlineStr">
        <is>
          <t>Mes 6</t>
        </is>
      </c>
      <c r="J7" s="26" t="inlineStr">
        <is>
          <t>Mes 7</t>
        </is>
      </c>
      <c r="K7" s="26" t="inlineStr">
        <is>
          <t>Mes 8</t>
        </is>
      </c>
      <c r="L7" s="26" t="inlineStr">
        <is>
          <t>Mes 9</t>
        </is>
      </c>
      <c r="M7" s="26" t="inlineStr">
        <is>
          <t>Mes 10</t>
        </is>
      </c>
      <c r="N7" s="26" t="inlineStr">
        <is>
          <t>Mes 11</t>
        </is>
      </c>
      <c r="O7" s="26" t="inlineStr">
        <is>
          <t>Mes 12</t>
        </is>
      </c>
      <c r="P7" s="26" t="inlineStr">
        <is>
          <t>Total Anual ($)</t>
        </is>
      </c>
    </row>
    <row r="8" ht="22" customHeight="1">
      <c r="B8" s="90" t="inlineStr">
        <is>
          <t>(+) SALDO INICIAL</t>
        </is>
      </c>
      <c r="C8" s="90" t="inlineStr">
        <is>
          <t>Saldo de Caja Disponible al Inicio</t>
        </is>
      </c>
      <c r="D8" s="91" t="n">
        <v>20500000</v>
      </c>
      <c r="E8" s="91">
        <f>D25</f>
        <v/>
      </c>
      <c r="F8" s="91">
        <f>E25</f>
        <v/>
      </c>
      <c r="G8" s="91">
        <f>F25</f>
        <v/>
      </c>
      <c r="H8" s="91">
        <f>G25</f>
        <v/>
      </c>
      <c r="I8" s="91">
        <f>H25</f>
        <v/>
      </c>
      <c r="J8" s="91">
        <f>I25</f>
        <v/>
      </c>
      <c r="K8" s="91">
        <f>J25</f>
        <v/>
      </c>
      <c r="L8" s="91">
        <f>K25</f>
        <v/>
      </c>
      <c r="M8" s="91">
        <f>L25</f>
        <v/>
      </c>
      <c r="N8" s="91">
        <f>M25</f>
        <v/>
      </c>
      <c r="O8" s="91">
        <f>N25</f>
        <v/>
      </c>
      <c r="P8" s="91">
        <f>D8</f>
        <v/>
      </c>
    </row>
    <row r="9" ht="20" customHeight="1">
      <c r="B9" s="11" t="inlineStr">
        <is>
          <t>Ingresos Operativos</t>
        </is>
      </c>
      <c r="C9" s="11" t="inlineStr">
        <is>
          <t>Ingresos por Ventas Línea Principal</t>
        </is>
      </c>
      <c r="D9" s="63" t="n">
        <v>15000000</v>
      </c>
      <c r="E9" s="63" t="n">
        <v>15500000</v>
      </c>
      <c r="F9" s="63" t="n">
        <v>16000000</v>
      </c>
      <c r="G9" s="63" t="n">
        <v>16800000</v>
      </c>
      <c r="H9" s="63" t="n">
        <v>17500000</v>
      </c>
      <c r="I9" s="63" t="n">
        <v>18200000</v>
      </c>
      <c r="J9" s="63" t="n">
        <v>19000000</v>
      </c>
      <c r="K9" s="63" t="n">
        <v>19500000</v>
      </c>
      <c r="L9" s="63" t="n">
        <v>20000000</v>
      </c>
      <c r="M9" s="63" t="n">
        <v>21000000</v>
      </c>
      <c r="N9" s="63" t="n">
        <v>22000000</v>
      </c>
      <c r="O9" s="63" t="n">
        <v>24000000</v>
      </c>
      <c r="P9" s="63">
        <f>SUM(D9:O9)</f>
        <v/>
      </c>
    </row>
    <row r="10" ht="20" customHeight="1">
      <c r="B10" s="8" t="inlineStr">
        <is>
          <t>Ingresos Operativos</t>
        </is>
      </c>
      <c r="C10" s="8" t="inlineStr">
        <is>
          <t>Ingresos por Servicios / Consultorías</t>
        </is>
      </c>
      <c r="D10" s="62" t="n">
        <v>4000000</v>
      </c>
      <c r="E10" s="62" t="n">
        <v>4200000</v>
      </c>
      <c r="F10" s="62" t="n">
        <v>4500000</v>
      </c>
      <c r="G10" s="62" t="n">
        <v>4800000</v>
      </c>
      <c r="H10" s="62" t="n">
        <v>5000000</v>
      </c>
      <c r="I10" s="62" t="n">
        <v>5200000</v>
      </c>
      <c r="J10" s="62" t="n">
        <v>5500000</v>
      </c>
      <c r="K10" s="62" t="n">
        <v>5800000</v>
      </c>
      <c r="L10" s="62" t="n">
        <v>6000000</v>
      </c>
      <c r="M10" s="62" t="n">
        <v>6500000</v>
      </c>
      <c r="N10" s="62" t="n">
        <v>6800000</v>
      </c>
      <c r="O10" s="62" t="n">
        <v>7500000</v>
      </c>
      <c r="P10" s="62">
        <f>SUM(D10:O10)</f>
        <v/>
      </c>
    </row>
    <row r="11" ht="20" customHeight="1">
      <c r="B11" s="11" t="inlineStr">
        <is>
          <t>Ingresos Operativos</t>
        </is>
      </c>
      <c r="C11" s="11" t="inlineStr">
        <is>
          <t>Cobro de Cuentas por Cobrar Clientes</t>
        </is>
      </c>
      <c r="D11" s="63" t="n">
        <v>2000000</v>
      </c>
      <c r="E11" s="63" t="n">
        <v>2000000</v>
      </c>
      <c r="F11" s="63" t="n">
        <v>2200000</v>
      </c>
      <c r="G11" s="63" t="n">
        <v>2200000</v>
      </c>
      <c r="H11" s="63" t="n">
        <v>2500000</v>
      </c>
      <c r="I11" s="63" t="n">
        <v>2500000</v>
      </c>
      <c r="J11" s="63" t="n">
        <v>2500000</v>
      </c>
      <c r="K11" s="63" t="n">
        <v>2800000</v>
      </c>
      <c r="L11" s="63" t="n">
        <v>2800000</v>
      </c>
      <c r="M11" s="63" t="n">
        <v>3000000</v>
      </c>
      <c r="N11" s="63" t="n">
        <v>3000000</v>
      </c>
      <c r="O11" s="63" t="n">
        <v>3500000</v>
      </c>
      <c r="P11" s="63">
        <f>SUM(D11:O11)</f>
        <v/>
      </c>
    </row>
    <row r="12" ht="20" customHeight="1">
      <c r="B12" s="8" t="inlineStr">
        <is>
          <t>Otros Ingresos</t>
        </is>
      </c>
      <c r="C12" s="8" t="inlineStr">
        <is>
          <t>Rendimientos Financieros / Inversiones</t>
        </is>
      </c>
      <c r="D12" s="62" t="n">
        <v>500000</v>
      </c>
      <c r="E12" s="62" t="n">
        <v>520000</v>
      </c>
      <c r="F12" s="62" t="n">
        <v>540000</v>
      </c>
      <c r="G12" s="62" t="n">
        <v>560000</v>
      </c>
      <c r="H12" s="62" t="n">
        <v>580000</v>
      </c>
      <c r="I12" s="62" t="n">
        <v>600000</v>
      </c>
      <c r="J12" s="62" t="n">
        <v>620000</v>
      </c>
      <c r="K12" s="62" t="n">
        <v>650000</v>
      </c>
      <c r="L12" s="62" t="n">
        <v>680000</v>
      </c>
      <c r="M12" s="62" t="n">
        <v>700000</v>
      </c>
      <c r="N12" s="62" t="n">
        <v>720000</v>
      </c>
      <c r="O12" s="62" t="n">
        <v>750000</v>
      </c>
      <c r="P12" s="62">
        <f>SUM(D12:O12)</f>
        <v/>
      </c>
    </row>
    <row r="13" ht="22" customHeight="1">
      <c r="B13" s="54" t="inlineStr">
        <is>
          <t>TOTAL ENTRADAS DE EFECTIVO ($):</t>
        </is>
      </c>
      <c r="C13" s="55" t="n"/>
      <c r="D13" s="67">
        <f>SUM(D9:D12)</f>
        <v/>
      </c>
      <c r="E13" s="67">
        <f>SUM(E9:E12)</f>
        <v/>
      </c>
      <c r="F13" s="67">
        <f>SUM(F9:F12)</f>
        <v/>
      </c>
      <c r="G13" s="67">
        <f>SUM(G9:G12)</f>
        <v/>
      </c>
      <c r="H13" s="67">
        <f>SUM(H9:H12)</f>
        <v/>
      </c>
      <c r="I13" s="67">
        <f>SUM(I9:I12)</f>
        <v/>
      </c>
      <c r="J13" s="67">
        <f>SUM(J9:J12)</f>
        <v/>
      </c>
      <c r="K13" s="67">
        <f>SUM(K9:K12)</f>
        <v/>
      </c>
      <c r="L13" s="67">
        <f>SUM(L9:L12)</f>
        <v/>
      </c>
      <c r="M13" s="67">
        <f>SUM(M9:M12)</f>
        <v/>
      </c>
      <c r="N13" s="67">
        <f>SUM(N9:N12)</f>
        <v/>
      </c>
      <c r="O13" s="67">
        <f>SUM(O9:O12)</f>
        <v/>
      </c>
      <c r="P13" s="56">
        <f>SUM(P9:P12)</f>
        <v/>
      </c>
    </row>
    <row r="14" ht="20" customHeight="1">
      <c r="B14" s="8" t="inlineStr">
        <is>
          <t>Costos Directos</t>
        </is>
      </c>
      <c r="C14" s="8" t="inlineStr">
        <is>
          <t>Costo de Ventas y Pago a Proveedores</t>
        </is>
      </c>
      <c r="D14" s="62" t="n">
        <v>6500000</v>
      </c>
      <c r="E14" s="62" t="n">
        <v>6800000</v>
      </c>
      <c r="F14" s="62" t="n">
        <v>7000000</v>
      </c>
      <c r="G14" s="62" t="n">
        <v>7400000</v>
      </c>
      <c r="H14" s="62" t="n">
        <v>7800000</v>
      </c>
      <c r="I14" s="62" t="n">
        <v>8100000</v>
      </c>
      <c r="J14" s="62" t="n">
        <v>8500000</v>
      </c>
      <c r="K14" s="62" t="n">
        <v>8800000</v>
      </c>
      <c r="L14" s="62" t="n">
        <v>9000000</v>
      </c>
      <c r="M14" s="62" t="n">
        <v>9500000</v>
      </c>
      <c r="N14" s="62" t="n">
        <v>10000000</v>
      </c>
      <c r="O14" s="62" t="n">
        <v>11000000</v>
      </c>
      <c r="P14" s="62">
        <f>SUM(D14:O14)</f>
        <v/>
      </c>
    </row>
    <row r="15" ht="20" customHeight="1">
      <c r="B15" s="11" t="inlineStr">
        <is>
          <t>Gastos Fijos</t>
        </is>
      </c>
      <c r="C15" s="11" t="inlineStr">
        <is>
          <t>Nómina y Honorarios Profesionales</t>
        </is>
      </c>
      <c r="D15" s="63" t="n">
        <v>5000000</v>
      </c>
      <c r="E15" s="63" t="n">
        <v>5000000</v>
      </c>
      <c r="F15" s="63" t="n">
        <v>5000000</v>
      </c>
      <c r="G15" s="63" t="n">
        <v>5000000</v>
      </c>
      <c r="H15" s="63" t="n">
        <v>5200000</v>
      </c>
      <c r="I15" s="63" t="n">
        <v>5200000</v>
      </c>
      <c r="J15" s="63" t="n">
        <v>5200000</v>
      </c>
      <c r="K15" s="63" t="n">
        <v>5200000</v>
      </c>
      <c r="L15" s="63" t="n">
        <v>5500000</v>
      </c>
      <c r="M15" s="63" t="n">
        <v>5500000</v>
      </c>
      <c r="N15" s="63" t="n">
        <v>5500000</v>
      </c>
      <c r="O15" s="63" t="n">
        <v>6000000</v>
      </c>
      <c r="P15" s="63">
        <f>SUM(D15:O15)</f>
        <v/>
      </c>
    </row>
    <row r="16" ht="20" customHeight="1">
      <c r="B16" s="8" t="inlineStr">
        <is>
          <t>Gastos Fijos</t>
        </is>
      </c>
      <c r="C16" s="8" t="inlineStr">
        <is>
          <t>Arriendo de Oficina / Instalaciones</t>
        </is>
      </c>
      <c r="D16" s="62" t="n">
        <v>2500000</v>
      </c>
      <c r="E16" s="62" t="n">
        <v>2500000</v>
      </c>
      <c r="F16" s="62" t="n">
        <v>2500000</v>
      </c>
      <c r="G16" s="62" t="n">
        <v>2500000</v>
      </c>
      <c r="H16" s="62" t="n">
        <v>2500000</v>
      </c>
      <c r="I16" s="62" t="n">
        <v>2500000</v>
      </c>
      <c r="J16" s="62" t="n">
        <v>2500000</v>
      </c>
      <c r="K16" s="62" t="n">
        <v>2500000</v>
      </c>
      <c r="L16" s="62" t="n">
        <v>2500000</v>
      </c>
      <c r="M16" s="62" t="n">
        <v>2500000</v>
      </c>
      <c r="N16" s="62" t="n">
        <v>2500000</v>
      </c>
      <c r="O16" s="62" t="n">
        <v>2500000</v>
      </c>
      <c r="P16" s="62">
        <f>SUM(D16:O16)</f>
        <v/>
      </c>
    </row>
    <row r="17" ht="20" customHeight="1">
      <c r="B17" s="11" t="inlineStr">
        <is>
          <t>Gastos Operativos</t>
        </is>
      </c>
      <c r="C17" s="11" t="inlineStr">
        <is>
          <t>Servicios Públicos, Internet y Telefonía</t>
        </is>
      </c>
      <c r="D17" s="63" t="n">
        <v>750000</v>
      </c>
      <c r="E17" s="63" t="n">
        <v>780000</v>
      </c>
      <c r="F17" s="63" t="n">
        <v>800000</v>
      </c>
      <c r="G17" s="63" t="n">
        <v>820000</v>
      </c>
      <c r="H17" s="63" t="n">
        <v>850000</v>
      </c>
      <c r="I17" s="63" t="n">
        <v>860000</v>
      </c>
      <c r="J17" s="63" t="n">
        <v>880000</v>
      </c>
      <c r="K17" s="63" t="n">
        <v>900000</v>
      </c>
      <c r="L17" s="63" t="n">
        <v>920000</v>
      </c>
      <c r="M17" s="63" t="n">
        <v>940000</v>
      </c>
      <c r="N17" s="63" t="n">
        <v>950000</v>
      </c>
      <c r="O17" s="63" t="n">
        <v>1000000</v>
      </c>
      <c r="P17" s="63">
        <f>SUM(D17:O17)</f>
        <v/>
      </c>
    </row>
    <row r="18" ht="20" customHeight="1">
      <c r="B18" s="8" t="inlineStr">
        <is>
          <t>Comercialización</t>
        </is>
      </c>
      <c r="C18" s="8" t="inlineStr">
        <is>
          <t>Publicidad Digital, Marketing y Software</t>
        </is>
      </c>
      <c r="D18" s="62" t="n">
        <v>1200000</v>
      </c>
      <c r="E18" s="62" t="n">
        <v>1200000</v>
      </c>
      <c r="F18" s="62" t="n">
        <v>1400000</v>
      </c>
      <c r="G18" s="62" t="n">
        <v>1500000</v>
      </c>
      <c r="H18" s="62" t="n">
        <v>1600000</v>
      </c>
      <c r="I18" s="62" t="n">
        <v>1700000</v>
      </c>
      <c r="J18" s="62" t="n">
        <v>1800000</v>
      </c>
      <c r="K18" s="62" t="n">
        <v>1900000</v>
      </c>
      <c r="L18" s="62" t="n">
        <v>2000000</v>
      </c>
      <c r="M18" s="62" t="n">
        <v>2200000</v>
      </c>
      <c r="N18" s="62" t="n">
        <v>2300000</v>
      </c>
      <c r="O18" s="62" t="n">
        <v>2500000</v>
      </c>
      <c r="P18" s="62">
        <f>SUM(D18:O18)</f>
        <v/>
      </c>
    </row>
    <row r="19" ht="20" customHeight="1">
      <c r="B19" s="11" t="inlineStr">
        <is>
          <t>Financieros</t>
        </is>
      </c>
      <c r="C19" s="11" t="inlineStr">
        <is>
          <t>Cuotas y Servicio de Deuda Bancaria</t>
        </is>
      </c>
      <c r="D19" s="63" t="n">
        <v>1850000</v>
      </c>
      <c r="E19" s="63" t="n">
        <v>1850000</v>
      </c>
      <c r="F19" s="63" t="n">
        <v>1850000</v>
      </c>
      <c r="G19" s="63" t="n">
        <v>1850000</v>
      </c>
      <c r="H19" s="63" t="n">
        <v>1850000</v>
      </c>
      <c r="I19" s="63" t="n">
        <v>1850000</v>
      </c>
      <c r="J19" s="63" t="n">
        <v>1850000</v>
      </c>
      <c r="K19" s="63" t="n">
        <v>1850000</v>
      </c>
      <c r="L19" s="63" t="n">
        <v>1850000</v>
      </c>
      <c r="M19" s="63" t="n">
        <v>1850000</v>
      </c>
      <c r="N19" s="63" t="n">
        <v>1850000</v>
      </c>
      <c r="O19" s="63" t="n">
        <v>1850000</v>
      </c>
      <c r="P19" s="63">
        <f>SUM(D19:O19)</f>
        <v/>
      </c>
    </row>
    <row r="20" ht="20" customHeight="1">
      <c r="B20" s="8" t="inlineStr">
        <is>
          <t>Impuestos / Varios</t>
        </is>
      </c>
      <c r="C20" s="8" t="inlineStr">
        <is>
          <t>Impuestos, Retenciones y Gastos Menores</t>
        </is>
      </c>
      <c r="D20" s="62" t="n">
        <v>1200000</v>
      </c>
      <c r="E20" s="62" t="n">
        <v>1200000</v>
      </c>
      <c r="F20" s="62" t="n">
        <v>1300000</v>
      </c>
      <c r="G20" s="62" t="n">
        <v>1400000</v>
      </c>
      <c r="H20" s="62" t="n">
        <v>1500000</v>
      </c>
      <c r="I20" s="62" t="n">
        <v>1600000</v>
      </c>
      <c r="J20" s="62" t="n">
        <v>1700000</v>
      </c>
      <c r="K20" s="62" t="n">
        <v>1800000</v>
      </c>
      <c r="L20" s="62" t="n">
        <v>1900000</v>
      </c>
      <c r="M20" s="62" t="n">
        <v>2000000</v>
      </c>
      <c r="N20" s="62" t="n">
        <v>2100000</v>
      </c>
      <c r="O20" s="62" t="n">
        <v>2400000</v>
      </c>
      <c r="P20" s="62">
        <f>SUM(D20:O20)</f>
        <v/>
      </c>
    </row>
    <row r="21" ht="22" customHeight="1">
      <c r="B21" s="54" t="inlineStr">
        <is>
          <t>TOTAL SALIDAS DE EFECTIVO ($):</t>
        </is>
      </c>
      <c r="C21" s="55" t="n"/>
      <c r="D21" s="67">
        <f>SUM(D14:D20)</f>
        <v/>
      </c>
      <c r="E21" s="67">
        <f>SUM(E14:E20)</f>
        <v/>
      </c>
      <c r="F21" s="67">
        <f>SUM(F14:F20)</f>
        <v/>
      </c>
      <c r="G21" s="67">
        <f>SUM(G14:G20)</f>
        <v/>
      </c>
      <c r="H21" s="67">
        <f>SUM(H14:H20)</f>
        <v/>
      </c>
      <c r="I21" s="67">
        <f>SUM(I14:I20)</f>
        <v/>
      </c>
      <c r="J21" s="67">
        <f>SUM(J14:J20)</f>
        <v/>
      </c>
      <c r="K21" s="67">
        <f>SUM(K14:K20)</f>
        <v/>
      </c>
      <c r="L21" s="67">
        <f>SUM(L14:L20)</f>
        <v/>
      </c>
      <c r="M21" s="67">
        <f>SUM(M14:M20)</f>
        <v/>
      </c>
      <c r="N21" s="67">
        <f>SUM(N14:N20)</f>
        <v/>
      </c>
      <c r="O21" s="67">
        <f>SUM(O14:O20)</f>
        <v/>
      </c>
      <c r="P21" s="56">
        <f>SUM(P14:P20)</f>
        <v/>
      </c>
    </row>
    <row r="23" ht="22" customHeight="1">
      <c r="B23" s="92" t="inlineStr">
        <is>
          <t>FLUJO NETO DEL PERIODO (Entradas - Salidas):</t>
        </is>
      </c>
      <c r="C23" s="7" t="n"/>
      <c r="D23" s="65">
        <f>D13-D21</f>
        <v/>
      </c>
      <c r="E23" s="65">
        <f>E13-E21</f>
        <v/>
      </c>
      <c r="F23" s="65">
        <f>F13-F21</f>
        <v/>
      </c>
      <c r="G23" s="65">
        <f>G13-G21</f>
        <v/>
      </c>
      <c r="H23" s="65">
        <f>H13-H21</f>
        <v/>
      </c>
      <c r="I23" s="65">
        <f>I13-I21</f>
        <v/>
      </c>
      <c r="J23" s="65">
        <f>J13-J21</f>
        <v/>
      </c>
      <c r="K23" s="65">
        <f>K13-K21</f>
        <v/>
      </c>
      <c r="L23" s="65">
        <f>L13-L21</f>
        <v/>
      </c>
      <c r="M23" s="65">
        <f>M13-M21</f>
        <v/>
      </c>
      <c r="N23" s="65">
        <f>N13-N21</f>
        <v/>
      </c>
      <c r="O23" s="65">
        <f>O13-O21</f>
        <v/>
      </c>
      <c r="P23" s="93">
        <f>P13-P21</f>
        <v/>
      </c>
    </row>
    <row r="25" ht="24" customHeight="1">
      <c r="B25" s="94" t="inlineStr">
        <is>
          <t>(=) SALDO FINAL ACUMULADO DE CAJA ($):</t>
        </is>
      </c>
      <c r="C25" s="32" t="n"/>
      <c r="D25" s="50">
        <f>D8+D23</f>
        <v/>
      </c>
      <c r="E25" s="50">
        <f>E8+E23</f>
        <v/>
      </c>
      <c r="F25" s="50">
        <f>F8+F23</f>
        <v/>
      </c>
      <c r="G25" s="50">
        <f>G8+G23</f>
        <v/>
      </c>
      <c r="H25" s="50">
        <f>H8+H23</f>
        <v/>
      </c>
      <c r="I25" s="50">
        <f>I8+I23</f>
        <v/>
      </c>
      <c r="J25" s="50">
        <f>J8+J23</f>
        <v/>
      </c>
      <c r="K25" s="50">
        <f>K8+K23</f>
        <v/>
      </c>
      <c r="L25" s="50">
        <f>L8+L23</f>
        <v/>
      </c>
      <c r="M25" s="50">
        <f>M8+M23</f>
        <v/>
      </c>
      <c r="N25" s="50">
        <f>N8+N23</f>
        <v/>
      </c>
      <c r="O25" s="50">
        <f>O8+O23</f>
        <v/>
      </c>
      <c r="P25" s="50">
        <f>O25</f>
        <v/>
      </c>
    </row>
    <row r="26" ht="20" customHeight="1">
      <c r="B26" s="35" t="inlineStr">
        <is>
          <t>ESTADO DE LIQUIDEZ Y RIESGO:</t>
        </is>
      </c>
      <c r="C26" s="10" t="n"/>
      <c r="D26" s="17">
        <f>IF(D25&lt;0,"🔴 DÉFICIT",IF(D25&lt;5000000,"🟡 AJUSTADO","🟢 SÓLIDO"))</f>
        <v/>
      </c>
      <c r="E26" s="17">
        <f>IF(E25&lt;0,"🔴 DÉFICIT",IF(E25&lt;5000000,"🟡 AJUSTADO","🟢 SÓLIDO"))</f>
        <v/>
      </c>
      <c r="F26" s="17">
        <f>IF(F25&lt;0,"🔴 DÉFICIT",IF(F25&lt;5000000,"🟡 AJUSTADO","🟢 SÓLIDO"))</f>
        <v/>
      </c>
      <c r="G26" s="17">
        <f>IF(G25&lt;0,"🔴 DÉFICIT",IF(G25&lt;5000000,"🟡 AJUSTADO","🟢 SÓLIDO"))</f>
        <v/>
      </c>
      <c r="H26" s="17">
        <f>IF(H25&lt;0,"🔴 DÉFICIT",IF(H25&lt;5000000,"🟡 AJUSTADO","🟢 SÓLIDO"))</f>
        <v/>
      </c>
      <c r="I26" s="17">
        <f>IF(I25&lt;0,"🔴 DÉFICIT",IF(I25&lt;5000000,"🟡 AJUSTADO","🟢 SÓLIDO"))</f>
        <v/>
      </c>
      <c r="J26" s="17">
        <f>IF(J25&lt;0,"🔴 DÉFICIT",IF(J25&lt;5000000,"🟡 AJUSTADO","🟢 SÓLIDO"))</f>
        <v/>
      </c>
      <c r="K26" s="17">
        <f>IF(K25&lt;0,"🔴 DÉFICIT",IF(K25&lt;5000000,"🟡 AJUSTADO","🟢 SÓLIDO"))</f>
        <v/>
      </c>
      <c r="L26" s="17">
        <f>IF(L25&lt;0,"🔴 DÉFICIT",IF(L25&lt;5000000,"🟡 AJUSTADO","🟢 SÓLIDO"))</f>
        <v/>
      </c>
      <c r="M26" s="17">
        <f>IF(M25&lt;0,"🔴 DÉFICIT",IF(M25&lt;5000000,"🟡 AJUSTADO","🟢 SÓLIDO"))</f>
        <v/>
      </c>
      <c r="N26" s="17">
        <f>IF(N25&lt;0,"🔴 DÉFICIT",IF(N25&lt;5000000,"🟡 AJUSTADO","🟢 SÓLIDO"))</f>
        <v/>
      </c>
      <c r="O26" s="17">
        <f>IF(O25&lt;0,"🔴 DÉFICIT",IF(O25&lt;5000000,"🟡 AJUSTADO","🟢 SÓLIDO"))</f>
        <v/>
      </c>
      <c r="P26" s="17">
        <f>IF(P25&lt;0,"🔴 DÉFICIT","🟢 SÓLIDO")</f>
        <v/>
      </c>
    </row>
  </sheetData>
  <mergeCells count="11">
    <mergeCell ref="B13:C13"/>
    <mergeCell ref="B21:C21"/>
    <mergeCell ref="B6:P6"/>
    <mergeCell ref="B2:P2"/>
    <mergeCell ref="B26:C26"/>
    <mergeCell ref="B25:C25"/>
    <mergeCell ref="B3:P3"/>
    <mergeCell ref="B5:P5"/>
    <mergeCell ref="B23:C23"/>
    <mergeCell ref="B1:P1"/>
    <mergeCell ref="B4:P4"/>
  </mergeCells>
  <conditionalFormatting sqref="D26:P26">
    <cfRule type="cellIs" priority="1" operator="equal" dxfId="0" stopIfTrue="1">
      <formula>"🟢 SÓLIDO"</formula>
    </cfRule>
    <cfRule type="cellIs" priority="2" operator="equal" dxfId="1" stopIfTrue="1">
      <formula>"🟡 AJUSTADO"</formula>
    </cfRule>
    <cfRule type="cellIs" priority="3" operator="equal" dxfId="2" stopIfTrue="1">
      <formula>"🔴 DÉFICIT"</formula>
    </cfRule>
  </conditionalFormatting>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DOC-KF-07 | Versión: 3.0&amp;RPágina &amp;P de &amp;N</oddFooter>
    <evenHeader/>
    <evenFooter/>
    <firstHeader/>
    <firstFooter/>
  </headerFooter>
  <legacyDrawing xmlns:r="http://schemas.openxmlformats.org/officeDocument/2006/relationships" r:id="anysvml"/>
</worksheet>
</file>

<file path=xl/worksheets/sheet13.xml><?xml version="1.0" encoding="utf-8"?>
<worksheet xmlns="http://schemas.openxmlformats.org/spreadsheetml/2006/main">
  <sheetPr>
    <outlinePr summaryBelow="1" summaryRight="1"/>
    <pageSetUpPr fitToPage="1"/>
  </sheetPr>
  <dimension ref="B1:G22"/>
  <sheetViews>
    <sheetView showGridLines="0" view="pageLayout" workbookViewId="0">
      <selection activeCell="A1" sqref="A1"/>
    </sheetView>
  </sheetViews>
  <sheetFormatPr baseColWidth="8" defaultRowHeight="15"/>
  <cols>
    <col width="3" customWidth="1" min="1" max="1"/>
    <col width="28" customWidth="1" min="2" max="2"/>
    <col width="30" customWidth="1" min="3" max="3"/>
    <col width="22" customWidth="1" min="4" max="4"/>
    <col width="16" customWidth="1" min="5" max="5"/>
    <col width="22" customWidth="1" min="6" max="6"/>
    <col width="24" customWidth="1" min="7" max="7"/>
  </cols>
  <sheetData>
    <row r="1" ht="24" customHeight="1">
      <c r="B1" s="20" t="inlineStr">
        <is>
          <t>METODOLOGÍA M.A.E.S.T.R.O. FINANCIERO XPROF</t>
        </is>
      </c>
    </row>
    <row r="2" ht="22" customHeight="1">
      <c r="B2" s="21" t="inlineStr">
        <is>
          <t>ESTADO DE RESULTADOS INTEGRAL (PÉRDIDAS Y GANANCIAS - P&amp;G) Y ANÁLISIS DE MÁRGENES | Código: DOC-KF-08</t>
        </is>
      </c>
    </row>
    <row r="3" ht="30" customHeight="1">
      <c r="B3" s="22" t="inlineStr">
        <is>
          <t>Propósito: Evaluar la rentabilidad económica real, deduciendo costos de venta, gastos operativos, gastos financieros e impuestos.</t>
        </is>
      </c>
    </row>
    <row r="4" ht="18" customHeight="1">
      <c r="B4" s="23" t="inlineStr">
        <is>
          <t>Entidad Asesora: XPROF | Versión: 3.0 | Autor: Helman Carrillo | Válido para: Personas, Emprendedores y Familias</t>
        </is>
      </c>
    </row>
    <row r="5" ht="20" customHeight="1">
      <c r="B5" s="24" t="inlineStr">
        <is>
          <t>EN UNA FRASE:   Muestra si tu negocio gana o pierde, y en qué se va cada peso que facturas.</t>
        </is>
      </c>
      <c r="C5" s="25" t="n"/>
      <c r="D5" s="25" t="n"/>
      <c r="E5" s="25" t="n"/>
      <c r="F5" s="25" t="n"/>
      <c r="G5" s="25" t="n"/>
    </row>
    <row r="6" ht="24" customHeight="1">
      <c r="B6" s="4" t="inlineStr">
        <is>
          <t>ESTADO DE RESULTADOS (P&amp;G) MENSUAL Y ANUALIZADO INTEGRAL</t>
        </is>
      </c>
      <c r="C6" s="5" t="n"/>
      <c r="D6" s="5" t="n"/>
      <c r="E6" s="5" t="n"/>
      <c r="F6" s="5" t="n"/>
      <c r="G6" s="5" t="n"/>
    </row>
    <row r="7" ht="20" customHeight="1">
      <c r="B7" s="26" t="inlineStr">
        <is>
          <t>Estructura Contable / Financiera</t>
        </is>
      </c>
      <c r="C7" s="26" t="inlineStr">
        <is>
          <t>Cuentas Principales / Detalle</t>
        </is>
      </c>
      <c r="D7" s="26" t="inlineStr">
        <is>
          <t>Valor Mensual ($)</t>
        </is>
      </c>
      <c r="E7" s="26" t="inlineStr">
        <is>
          <t>% Vertical</t>
        </is>
      </c>
      <c r="F7" s="26" t="inlineStr">
        <is>
          <t>Valor Anualizado ($)</t>
        </is>
      </c>
      <c r="G7" s="26" t="inlineStr">
        <is>
          <t>Interpretación Financiera</t>
        </is>
      </c>
    </row>
    <row r="8" ht="22" customHeight="1">
      <c r="B8" s="8" t="inlineStr">
        <is>
          <t>INGRESOS OPERACIONALES BRUTOS</t>
        </is>
      </c>
      <c r="C8" s="8" t="inlineStr">
        <is>
          <t>Ventas totales de productos y servicios</t>
        </is>
      </c>
      <c r="D8" s="62" t="n">
        <v>21500000</v>
      </c>
      <c r="E8" s="47">
        <f>IF(D8&gt;0,D8/$D$8,0)</f>
        <v/>
      </c>
      <c r="F8" s="62">
        <f>D8*12</f>
        <v/>
      </c>
      <c r="G8" s="8" t="inlineStr">
        <is>
          <t>Base de facturación total.</t>
        </is>
      </c>
    </row>
    <row r="9" ht="22" customHeight="1">
      <c r="B9" s="11" t="inlineStr">
        <is>
          <t>(-) Devoluciones, Rebajas y Descuentos</t>
        </is>
      </c>
      <c r="C9" s="11" t="inlineStr">
        <is>
          <t>Descuentos comerciales otorgados a clientes</t>
        </is>
      </c>
      <c r="D9" s="63" t="n">
        <v>500000</v>
      </c>
      <c r="E9" s="48">
        <f>IF($D$8&gt;0,D9/$D$8,0)</f>
        <v/>
      </c>
      <c r="F9" s="63">
        <f>D9*12</f>
        <v/>
      </c>
      <c r="G9" s="11" t="inlineStr">
        <is>
          <t>Erosión de ingresos.</t>
        </is>
      </c>
    </row>
    <row r="10" ht="22" customHeight="1">
      <c r="B10" s="95" t="inlineStr">
        <is>
          <t>(=) INGRESOS OPERACIONALES NETOS</t>
        </is>
      </c>
      <c r="C10" s="95" t="inlineStr">
        <is>
          <t>Ingresos netos reales facturados</t>
        </is>
      </c>
      <c r="D10" s="67">
        <f>D8-D9</f>
        <v/>
      </c>
      <c r="E10" s="76">
        <f>IF($D$8&gt;0,D10/$D$8,0)</f>
        <v/>
      </c>
      <c r="F10" s="67">
        <f>D10*12</f>
        <v/>
      </c>
      <c r="G10" s="95" t="inlineStr">
        <is>
          <t>Base neta del ejercicio.</t>
        </is>
      </c>
    </row>
    <row r="11" ht="22" customHeight="1">
      <c r="B11" s="11" t="inlineStr">
        <is>
          <t>(-) COSTO DE VENTAS (COGS)</t>
        </is>
      </c>
      <c r="C11" s="11" t="inlineStr">
        <is>
          <t>Materia prima, insumos directos y producción</t>
        </is>
      </c>
      <c r="D11" s="63" t="n">
        <v>7800000</v>
      </c>
      <c r="E11" s="48">
        <f>IF($D$8&gt;0,D11/$D$8,0)</f>
        <v/>
      </c>
      <c r="F11" s="63">
        <f>D11*12</f>
        <v/>
      </c>
      <c r="G11" s="11" t="inlineStr">
        <is>
          <t>Costo directo atribuible.</t>
        </is>
      </c>
    </row>
    <row r="12" ht="22" customHeight="1">
      <c r="B12" s="95" t="inlineStr">
        <is>
          <t>(=) UTILIDAD BRUTA</t>
        </is>
      </c>
      <c r="C12" s="95" t="inlineStr">
        <is>
          <t>Margen bruto antes de gastos de estructura</t>
        </is>
      </c>
      <c r="D12" s="56">
        <f>D10-D11</f>
        <v/>
      </c>
      <c r="E12" s="76">
        <f>IF($D$8&gt;0,D12/$D$8,0)</f>
        <v/>
      </c>
      <c r="F12" s="67">
        <f>D12*12</f>
        <v/>
      </c>
      <c r="G12" s="95" t="inlineStr">
        <is>
          <t>Margen bruto del negocio.</t>
        </is>
      </c>
    </row>
    <row r="13" ht="22" customHeight="1">
      <c r="B13" s="11" t="inlineStr">
        <is>
          <t>(-) Gastos de Administración</t>
        </is>
      </c>
      <c r="C13" s="11" t="inlineStr">
        <is>
          <t>Sueldos administrativos, arriendo, servicios</t>
        </is>
      </c>
      <c r="D13" s="63" t="n">
        <v>5200000</v>
      </c>
      <c r="E13" s="48">
        <f>IF($D$8&gt;0,D13/$D$8,0)</f>
        <v/>
      </c>
      <c r="F13" s="63">
        <f>D13*12</f>
        <v/>
      </c>
      <c r="G13" s="11" t="inlineStr">
        <is>
          <t>Costos fijos de soporte.</t>
        </is>
      </c>
    </row>
    <row r="14" ht="22" customHeight="1">
      <c r="B14" s="8" t="inlineStr">
        <is>
          <t>(-) Gastos de Ventas y Marketing</t>
        </is>
      </c>
      <c r="C14" s="8" t="inlineStr">
        <is>
          <t>Publicidad, comisiones y software comercial</t>
        </is>
      </c>
      <c r="D14" s="62" t="n">
        <v>2100000</v>
      </c>
      <c r="E14" s="47">
        <f>IF($D$8&gt;0,D14/$D$8,0)</f>
        <v/>
      </c>
      <c r="F14" s="62">
        <f>D14*12</f>
        <v/>
      </c>
      <c r="G14" s="8" t="inlineStr">
        <is>
          <t>Inversión en adquisición.</t>
        </is>
      </c>
    </row>
    <row r="15" ht="22" customHeight="1">
      <c r="B15" s="95" t="inlineStr">
        <is>
          <t>(=) UTILIDAD OPERATIVA (EBITDA)</t>
        </is>
      </c>
      <c r="C15" s="95" t="inlineStr">
        <is>
          <t>Resultado de la operación pura del negocio</t>
        </is>
      </c>
      <c r="D15" s="56">
        <f>D12-D13-D14</f>
        <v/>
      </c>
      <c r="E15" s="76">
        <f>IF($D$8&gt;0,D15/$D$8,0)</f>
        <v/>
      </c>
      <c r="F15" s="67">
        <f>D15*12</f>
        <v/>
      </c>
      <c r="G15" s="95" t="inlineStr">
        <is>
          <t>Eficiencia operativa pura.</t>
        </is>
      </c>
    </row>
    <row r="16" ht="22" customHeight="1">
      <c r="B16" s="8" t="inlineStr">
        <is>
          <t>(-) Gastos Financieros</t>
        </is>
      </c>
      <c r="C16" s="8" t="inlineStr">
        <is>
          <t>Intereses de préstamos y comisiones bancarias</t>
        </is>
      </c>
      <c r="D16" s="62" t="n">
        <v>850000</v>
      </c>
      <c r="E16" s="47">
        <f>IF($D$8&gt;0,D16/$D$8,0)</f>
        <v/>
      </c>
      <c r="F16" s="62">
        <f>D16*12</f>
        <v/>
      </c>
      <c r="G16" s="8" t="inlineStr">
        <is>
          <t>Costo del apalancamiento.</t>
        </is>
      </c>
    </row>
    <row r="17" ht="22" customHeight="1">
      <c r="B17" s="95" t="inlineStr">
        <is>
          <t>(=) UTILIDAD ANTES DE IMPUESTOS (UAI)</t>
        </is>
      </c>
      <c r="C17" s="95" t="inlineStr">
        <is>
          <t>Base gravable del ejercicio</t>
        </is>
      </c>
      <c r="D17" s="67">
        <f>D15-D16</f>
        <v/>
      </c>
      <c r="E17" s="76">
        <f>IF($D$8&gt;0,D17/$D$8,0)</f>
        <v/>
      </c>
      <c r="F17" s="67">
        <f>D17*12</f>
        <v/>
      </c>
      <c r="G17" s="95" t="inlineStr">
        <is>
          <t>Beneficio antes de tributos.</t>
        </is>
      </c>
    </row>
    <row r="18" ht="22" customHeight="1">
      <c r="B18" s="8" t="inlineStr">
        <is>
          <t>(-) Provisión de Impuestos (30%)</t>
        </is>
      </c>
      <c r="C18" s="8" t="inlineStr">
        <is>
          <t>Impuesto a la renta y tributos estimados</t>
        </is>
      </c>
      <c r="D18" s="62">
        <f>IF(D17&gt;0, D17*0.3, 0)</f>
        <v/>
      </c>
      <c r="E18" s="47">
        <f>IF($D$8&gt;0,D18/$D$8,0)</f>
        <v/>
      </c>
      <c r="F18" s="62">
        <f>D18*12</f>
        <v/>
      </c>
      <c r="G18" s="8" t="inlineStr">
        <is>
          <t>Carga fiscal proyectada.</t>
        </is>
      </c>
    </row>
    <row r="19" ht="22" customHeight="1">
      <c r="B19" s="96" t="inlineStr">
        <is>
          <t>(=) UTILIDAD NETA FINAL DEL EJERCICIO</t>
        </is>
      </c>
      <c r="C19" s="96" t="inlineStr">
        <is>
          <t>Ganancia limpia para reinversión o dividendos</t>
        </is>
      </c>
      <c r="D19" s="50">
        <f>D17-D18</f>
        <v/>
      </c>
      <c r="E19" s="51">
        <f>IF($D$8&gt;0,D19/$D$8,0)</f>
        <v/>
      </c>
      <c r="F19" s="64">
        <f>D19*12</f>
        <v/>
      </c>
      <c r="G19" s="96" t="inlineStr">
        <is>
          <t>Rendimiento neto definitivo.</t>
        </is>
      </c>
    </row>
    <row r="22" ht="45" customHeight="1">
      <c r="B22" s="36">
        <f>"DIAGNÓSTICO DE RENTABILIDAD INTEGRAL: Facturación neta de " &amp; TEXT(D10,"$#,##0") &amp; "/mes genera una Utilidad Neta de " &amp; TEXT(D19,"$#,##0") &amp; "/mes (" &amp; TEXT(D19*12,"$#,##0") &amp; "/año), para un Margen Neto del " &amp; TEXT(E19,"0.0%") &amp; ". PRE-ANÁLISIS: " &amp; IF(E19&lt;0.1,"⚠️ MARGEN ESTRECHO: Tu margen neto es inferior al 10%. Optimiza costos directos de ventas o reduce gastos fijos de administración.",IF(E19&lt;0.25,"⚖️ RENTABILIDAD ADECUADA: Cuentas con márgenes saludables. Puedes reinvertir un 50% de la utilidad en escalar adquisición de clientes.","🏆 ALTA RENTABILIDAD: Modelo altamente rentable (&gt;25% margen neto). Tienes margen para expandir operaciones o distribuir dividendos sostenibles."))</f>
        <v/>
      </c>
    </row>
  </sheetData>
  <mergeCells count="7">
    <mergeCell ref="B3:G3"/>
    <mergeCell ref="B2:G2"/>
    <mergeCell ref="B22:G22"/>
    <mergeCell ref="B5:G5"/>
    <mergeCell ref="B1:G1"/>
    <mergeCell ref="B4:G4"/>
    <mergeCell ref="B6:G6"/>
  </mergeCell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DOC-KF-08 | Versión: 3.0&amp;RPágina &amp;P de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B1:G26"/>
  <sheetViews>
    <sheetView showGridLines="0" view="pageLayout" workbookViewId="0">
      <selection activeCell="A1" sqref="A1"/>
    </sheetView>
  </sheetViews>
  <sheetFormatPr baseColWidth="8" defaultRowHeight="15"/>
  <cols>
    <col width="3" customWidth="1" min="1" max="1"/>
    <col width="24" customWidth="1" min="2" max="2"/>
    <col width="28" customWidth="1" min="3" max="3"/>
    <col width="22" customWidth="1" min="4" max="4"/>
    <col width="24" customWidth="1" min="5" max="5"/>
    <col width="22" customWidth="1" min="6" max="6"/>
    <col width="24" customWidth="1" min="7" max="7"/>
  </cols>
  <sheetData>
    <row r="1" ht="24" customHeight="1">
      <c r="B1" s="20" t="inlineStr">
        <is>
          <t>METODOLOGÍA M.A.E.S.T.R.O. FINANCIERO XPROF</t>
        </is>
      </c>
    </row>
    <row r="2" ht="22" customHeight="1">
      <c r="B2" s="21" t="inlineStr">
        <is>
          <t>MODELO DE INDEPENDENCIA FINANCIERA (MOVIMIENTO FIRE), INTERÉS COMPUESTO Y ASSET ALLOCATION | Código: DOC-KF-09</t>
        </is>
      </c>
    </row>
    <row r="3" ht="30" customHeight="1">
      <c r="B3" s="22" t="inlineStr">
        <is>
          <t>Propósito: Calcular el Número FIRE, simular el tiempo hacia la libertad financiera y estructurar la cartera de inversión según perfil de riesgo.</t>
        </is>
      </c>
    </row>
    <row r="4" ht="18" customHeight="1">
      <c r="B4" s="23" t="inlineStr">
        <is>
          <t>Entidad Asesora: XPROF | Versión: 3.0 | Autor: Helman Carrillo | Válido para: Personas, Emprendedores y Familias</t>
        </is>
      </c>
    </row>
    <row r="5" ht="20" customHeight="1">
      <c r="B5" s="24" t="inlineStr">
        <is>
          <t>EN UNA FRASE:   Calcula cuánto capital necesitas para vivir sin trabajar, y en cuántos años podrías lograrlo.</t>
        </is>
      </c>
      <c r="C5" s="25" t="n"/>
      <c r="D5" s="25" t="n"/>
      <c r="E5" s="25" t="n"/>
      <c r="F5" s="25" t="n"/>
      <c r="G5" s="25" t="n"/>
    </row>
    <row r="6" ht="24" customHeight="1">
      <c r="B6" s="4" t="inlineStr">
        <is>
          <t>1. CÁLCULO DEL NÚMERO DE LIBERTAD FINANCIERA (NÚMERO FIRE - REGLA DEL 4%)</t>
        </is>
      </c>
      <c r="C6" s="5" t="n"/>
      <c r="D6" s="5" t="n"/>
      <c r="E6" s="5" t="n"/>
      <c r="F6" s="5" t="n"/>
      <c r="G6" s="5" t="n"/>
    </row>
    <row r="8" ht="22" customHeight="1">
      <c r="B8" s="40" t="inlineStr">
        <is>
          <t>Gasto Anual Estimado de Estilo de Vida Deseado ($):</t>
        </is>
      </c>
      <c r="C8" s="7" t="n"/>
      <c r="D8" s="7" t="n"/>
      <c r="E8" s="79">
        <f>('04_Presupuesto_Inteligente'!F23+'04_Presupuesto_Inteligente'!F29)*12</f>
        <v/>
      </c>
      <c r="F8" s="16" t="inlineStr">
        <is>
          <t>Necesidades + Deseos reales anualizados (excluye el 20% de ahorro/inversión, que deja de ser obligatorio al alcanzar la libertad financiera).</t>
        </is>
      </c>
      <c r="G8" s="7" t="n"/>
    </row>
    <row r="9" ht="22" customHeight="1">
      <c r="B9" s="35" t="inlineStr">
        <is>
          <t>Tasa de Retiro Seguro (SWR - Safe Withdrawal Rate %):</t>
        </is>
      </c>
      <c r="C9" s="10" t="n"/>
      <c r="D9" s="10" t="n"/>
      <c r="E9" s="82" t="n">
        <v>0.04</v>
      </c>
      <c r="F9" s="18" t="inlineStr">
        <is>
          <t>Estándar de retiro sostenible anual (Trinity Study: 4%).</t>
        </is>
      </c>
      <c r="G9" s="10" t="n"/>
    </row>
    <row r="10" ht="22" customHeight="1">
      <c r="B10" s="54" t="inlineStr">
        <is>
          <t>NÚMERO FIRE (Capital Objetivo Requerido para Libertad):</t>
        </is>
      </c>
      <c r="C10" s="55" t="n"/>
      <c r="D10" s="55" t="n"/>
      <c r="E10" s="56">
        <f>IF(E9&gt;0, E8/E9, 0)</f>
        <v/>
      </c>
      <c r="F10" s="57" t="inlineStr">
        <is>
          <t>Capital invertido que financia tus gastos para siempre.</t>
        </is>
      </c>
      <c r="G10" s="55" t="n"/>
    </row>
    <row r="11" ht="22" customHeight="1">
      <c r="B11" s="35" t="inlineStr">
        <is>
          <t>Patrimonio Invertido Productivo Actual ($):</t>
        </is>
      </c>
      <c r="C11" s="10" t="n"/>
      <c r="D11" s="10" t="n"/>
      <c r="E11" s="80">
        <f>'03_Balance_Patrimonial'!E10+'03_Balance_Patrimonial'!E11+'03_Balance_Patrimonial'!E13</f>
        <v/>
      </c>
      <c r="F11" s="18" t="inlineStr">
        <is>
          <t>Inversiones líquidas e inmobiliarias que generan renta.</t>
        </is>
      </c>
      <c r="G11" s="10" t="n"/>
    </row>
    <row r="12" ht="22" customHeight="1">
      <c r="B12" s="40" t="inlineStr">
        <is>
          <t>Brecha de Capital por Acumular ($):</t>
        </is>
      </c>
      <c r="C12" s="7" t="n"/>
      <c r="D12" s="7" t="n"/>
      <c r="E12" s="79">
        <f>MAX(0, E10-E11)</f>
        <v/>
      </c>
      <c r="F12" s="16" t="inlineStr">
        <is>
          <t>Capital adicional necesario para alcanzar la meta FIRE.</t>
        </is>
      </c>
      <c r="G12" s="7" t="n"/>
    </row>
    <row r="13" ht="22" customHeight="1">
      <c r="B13" s="35" t="inlineStr">
        <is>
          <t>Aporte Mensual Actual a Inversiones ($):</t>
        </is>
      </c>
      <c r="C13" s="10" t="n"/>
      <c r="D13" s="10" t="n"/>
      <c r="E13" s="80">
        <f>'04_Presupuesto_Inteligente'!F31</f>
        <v/>
      </c>
      <c r="F13" s="18" t="inlineStr">
        <is>
          <t>Flujo mensual recurrente inyectado a inversiones.</t>
        </is>
      </c>
      <c r="G13" s="10" t="n"/>
    </row>
    <row r="14" ht="22" customHeight="1">
      <c r="B14" s="40" t="inlineStr">
        <is>
          <t>Rendimiento Anual Real Esperado (Neto de Inflación %):</t>
        </is>
      </c>
      <c r="C14" s="7" t="n"/>
      <c r="D14" s="7" t="n"/>
      <c r="E14" s="81" t="n">
        <v>0.07000000000000001</v>
      </c>
      <c r="F14" s="16" t="inlineStr">
        <is>
          <t>Retorno real histórico de cartera global diversificada.</t>
        </is>
      </c>
      <c r="G14" s="7" t="n"/>
    </row>
    <row r="15" ht="22" customHeight="1">
      <c r="B15" s="54" t="inlineStr">
        <is>
          <t>PROGRESO ACTUAL HACIA LA LIBERTAD FINANCIERA (%):</t>
        </is>
      </c>
      <c r="C15" s="55" t="n"/>
      <c r="D15" s="55" t="n"/>
      <c r="E15" s="97">
        <f>IF(E10&gt;0, E11/E10, 0)</f>
        <v/>
      </c>
      <c r="F15" s="57" t="inlineStr">
        <is>
          <t>Porcentaje de tu meta de independencia alcanzado.</t>
        </is>
      </c>
      <c r="G15" s="55" t="n"/>
    </row>
    <row r="16" ht="22" customHeight="1">
      <c r="B16" s="54" t="inlineStr">
        <is>
          <t>AÑOS ESTIMADOS PARA ALCANZAR LA LIBERTAD FINANCIERA:</t>
        </is>
      </c>
      <c r="C16" s="55" t="n"/>
      <c r="D16" s="55" t="n"/>
      <c r="E16" s="98">
        <f>IF(AND(E13&gt;0, E14&gt;0), ROUNDUP(LN((E10*(E14/12)+E13)/(E11*(E14/12)+E13))/LN(1+(E14/12))/12, 1), 99)</f>
        <v/>
      </c>
      <c r="F16" s="57" t="inlineStr">
        <is>
          <t>Tiempo proyectado manteniendo el ritmo actual de aportes.</t>
        </is>
      </c>
      <c r="G16" s="55" t="n"/>
    </row>
    <row r="18" ht="24" customHeight="1">
      <c r="B18" s="4" t="inlineStr">
        <is>
          <t>2. MATRIZ DE ASIGNACIÓN ESTRATÉGICA DE ACTIVOS (ASSET ALLOCATION SUGERIDO)</t>
        </is>
      </c>
      <c r="C18" s="5" t="n"/>
      <c r="D18" s="5" t="n"/>
      <c r="E18" s="5" t="n"/>
      <c r="F18" s="5" t="n"/>
      <c r="G18" s="5" t="n"/>
    </row>
    <row r="19" ht="20" customHeight="1">
      <c r="B19" s="26" t="inlineStr">
        <is>
          <t>Clase de Activo</t>
        </is>
      </c>
      <c r="C19" s="26" t="inlineStr">
        <is>
          <t>Instrumentos Recomendados</t>
        </is>
      </c>
      <c r="D19" s="26" t="inlineStr">
        <is>
          <t>Asignación Sugerida (%)</t>
        </is>
      </c>
      <c r="E19" s="26" t="inlineStr">
        <is>
          <t>Monto Asignado ($)</t>
        </is>
      </c>
      <c r="F19" s="26" t="inlineStr">
        <is>
          <t>Horizonte / Liquidez</t>
        </is>
      </c>
      <c r="G19" s="26" t="inlineStr">
        <is>
          <t>Rol en la Cartera</t>
        </is>
      </c>
    </row>
    <row r="20" ht="21" customHeight="1">
      <c r="B20" s="8" t="inlineStr">
        <is>
          <t>Renta Variable Global</t>
        </is>
      </c>
      <c r="C20" s="8" t="inlineStr">
        <is>
          <t>ETFs indexados (S&amp;P 500, MSCI World, Vanguard)</t>
        </is>
      </c>
      <c r="D20" s="47" t="n">
        <v>0.5</v>
      </c>
      <c r="E20" s="62">
        <f>D20*$E$10</f>
        <v/>
      </c>
      <c r="F20" s="30" t="inlineStr">
        <is>
          <t>Largo plazo (&gt; 5 años)</t>
        </is>
      </c>
      <c r="G20" s="8" t="inlineStr">
        <is>
          <t>Motor de crecimiento y protección inflacionaria.</t>
        </is>
      </c>
    </row>
    <row r="21" ht="21" customHeight="1">
      <c r="B21" s="11" t="inlineStr">
        <is>
          <t>Renta Fija / Deuda</t>
        </is>
      </c>
      <c r="C21" s="11" t="inlineStr">
        <is>
          <t>Bonos soberanos, CDTs escalonados y pagarés</t>
        </is>
      </c>
      <c r="D21" s="48" t="n">
        <v>0.25</v>
      </c>
      <c r="E21" s="63">
        <f>D21*$E$10</f>
        <v/>
      </c>
      <c r="F21" s="29" t="inlineStr">
        <is>
          <t>Mediano plazo (1 a 5 años)</t>
        </is>
      </c>
      <c r="G21" s="11" t="inlineStr">
        <is>
          <t>Estabilidad y reducción de volatilidad.</t>
        </is>
      </c>
    </row>
    <row r="22" ht="21" customHeight="1">
      <c r="B22" s="8" t="inlineStr">
        <is>
          <t>Bienes Raíces / FIBRAs</t>
        </is>
      </c>
      <c r="C22" s="8" t="inlineStr">
        <is>
          <t>Propiedades de alquiler, REITs y fondos inmobiliarios</t>
        </is>
      </c>
      <c r="D22" s="47" t="n">
        <v>0.15</v>
      </c>
      <c r="E22" s="62">
        <f>D22*$E$10</f>
        <v/>
      </c>
      <c r="F22" s="30" t="inlineStr">
        <is>
          <t>Largo plazo (Flujo recurrente)</t>
        </is>
      </c>
      <c r="G22" s="8" t="inlineStr">
        <is>
          <t>Generación de rentas pasivas periódicas.</t>
        </is>
      </c>
    </row>
    <row r="23" ht="21" customHeight="1">
      <c r="B23" s="11" t="inlineStr">
        <is>
          <t>Reserva Líquida</t>
        </is>
      </c>
      <c r="C23" s="11" t="inlineStr">
        <is>
          <t>Fondos a la vista y depósitos de alta liquidez</t>
        </is>
      </c>
      <c r="D23" s="48" t="n">
        <v>0.1</v>
      </c>
      <c r="E23" s="63">
        <f>D23*$E$10</f>
        <v/>
      </c>
      <c r="F23" s="29" t="inlineStr">
        <is>
          <t>Inmediata (&lt; 1 año)</t>
        </is>
      </c>
      <c r="G23" s="11" t="inlineStr">
        <is>
          <t>Fondo de maniobra y compras de oportunidad.</t>
        </is>
      </c>
    </row>
    <row r="24" ht="22" customHeight="1">
      <c r="B24" s="31" t="inlineStr">
        <is>
          <t>TOTAL CARTERA OBJETIVO FIRE ($):</t>
        </is>
      </c>
      <c r="C24" s="32" t="n"/>
      <c r="D24" s="51">
        <f>SUM(D20:D23)</f>
        <v/>
      </c>
      <c r="E24" s="50">
        <f>SUM(E20:E23)</f>
        <v/>
      </c>
      <c r="F24" s="99" t="inlineStr">
        <is>
          <t>Distribución balanceada según perfil moderado-crecimiento.</t>
        </is>
      </c>
      <c r="G24" s="32" t="n"/>
    </row>
    <row r="26" ht="45" customHeight="1">
      <c r="B26" s="36">
        <f>"DIAGNÓSTICO DE LIBERTAD FINANCIERA: Tu Número FIRE es de " &amp; TEXT(E10,"$#,##0") &amp; ". Actualmente has acumulado el " &amp; TEXT(E15,"0.0%") &amp; " de tu meta (" &amp; TEXT(E11,"$#,##0") &amp; "). Con tu aporte mensual de " &amp; TEXT(E13,"$#,##0") &amp; ", alcanzarás tu independencia en " &amp; TEXT(E16,"0.0") &amp; " años. RECOMENDACIÓN: " &amp; IF(E15&lt;0.25,"Enfócate en aumentar tus fuentes de ingreso activo para elevar tu aporte mensual a fondos indexados y acelerar tu curva exponencial.","Cuentas con un ritmo sobresaliente de acumulación. Mantén la reinversión de dividendos para maximizar el interés compuesto.")</f>
        <v/>
      </c>
    </row>
  </sheetData>
  <mergeCells count="28">
    <mergeCell ref="B2:G2"/>
    <mergeCell ref="B11:D11"/>
    <mergeCell ref="F11:G11"/>
    <mergeCell ref="B14:D14"/>
    <mergeCell ref="F10:G10"/>
    <mergeCell ref="F16:G16"/>
    <mergeCell ref="B8:D8"/>
    <mergeCell ref="B1:G1"/>
    <mergeCell ref="B13:D13"/>
    <mergeCell ref="B10:D10"/>
    <mergeCell ref="F12:G12"/>
    <mergeCell ref="F24:G24"/>
    <mergeCell ref="F15:G15"/>
    <mergeCell ref="B9:D9"/>
    <mergeCell ref="B15:D15"/>
    <mergeCell ref="F8:G8"/>
    <mergeCell ref="B6:G6"/>
    <mergeCell ref="B5:G5"/>
    <mergeCell ref="B4:G4"/>
    <mergeCell ref="B26:G26"/>
    <mergeCell ref="F13:G13"/>
    <mergeCell ref="F9:G9"/>
    <mergeCell ref="B16:D16"/>
    <mergeCell ref="B3:G3"/>
    <mergeCell ref="B24:C24"/>
    <mergeCell ref="F14:G14"/>
    <mergeCell ref="B18:G18"/>
    <mergeCell ref="B12:D12"/>
  </mergeCells>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DOC-KF-09 | Versión: 3.0&amp;RPágina &amp;P de &amp;N</oddFooter>
    <evenHeader/>
    <evenFooter/>
    <firstHeader/>
    <firstFooter/>
  </headerFooter>
  <legacyDrawing xmlns:r="http://schemas.openxmlformats.org/officeDocument/2006/relationships" r:id="anysvml"/>
</worksheet>
</file>

<file path=xl/worksheets/sheet15.xml><?xml version="1.0" encoding="utf-8"?>
<worksheet xmlns="http://schemas.openxmlformats.org/spreadsheetml/2006/main">
  <sheetPr>
    <outlinePr summaryBelow="1" summaryRight="1"/>
    <pageSetUpPr fitToPage="1"/>
  </sheetPr>
  <dimension ref="B1:I30"/>
  <sheetViews>
    <sheetView showGridLines="0" view="pageLayout" workbookViewId="0">
      <selection activeCell="A1" sqref="A1"/>
    </sheetView>
  </sheetViews>
  <sheetFormatPr baseColWidth="8" defaultRowHeight="15"/>
  <cols>
    <col width="3" customWidth="1" min="1" max="1"/>
    <col width="22" customWidth="1" min="2" max="2"/>
    <col width="18" customWidth="1" min="3" max="3"/>
    <col width="22" customWidth="1" min="4" max="4"/>
    <col width="18" customWidth="1" min="5" max="5"/>
    <col width="22" customWidth="1" min="6" max="6"/>
    <col width="18" customWidth="1" min="7" max="7"/>
    <col width="22" customWidth="1" min="8" max="8"/>
    <col width="18" customWidth="1" min="9" max="9"/>
  </cols>
  <sheetData>
    <row r="1" ht="24" customHeight="1">
      <c r="B1" s="20" t="inlineStr">
        <is>
          <t>METODOLOGÍA M.A.E.S.T.R.O. FINANCIERO XPROF</t>
        </is>
      </c>
    </row>
    <row r="2" ht="22" customHeight="1">
      <c r="B2" s="21" t="inlineStr">
        <is>
          <t>PANEL DE CONTROL EJECUTIVO, KPIS CONSOLIDADOS Y DIAGNÓSTICO ESTRATÉGICO | Código: DOC-KF-10</t>
        </is>
      </c>
    </row>
    <row r="3" ht="30" customHeight="1">
      <c r="B3" s="22" t="inlineStr">
        <is>
          <t>Propósito: Integrar y procesar en tiempo real todas las variables del kit financiero, emitiendo diagnósticos directivos y visualizaciones gráficas de alto impacto.</t>
        </is>
      </c>
    </row>
    <row r="4" ht="18" customHeight="1">
      <c r="B4" s="23" t="inlineStr">
        <is>
          <t>Entidad Asesora: XPROF | Versión: 3.0 | Autor: Helman Carrillo | Válido para: Personas, Emprendedores y Familias</t>
        </is>
      </c>
    </row>
    <row r="5" ht="20" customHeight="1">
      <c r="B5" s="24" t="inlineStr">
        <is>
          <t>EN UNA FRASE:   Resumen de todo. No escribas aquí: se llena solo con lo que pusiste en las demás hojas.</t>
        </is>
      </c>
      <c r="C5" s="25" t="n"/>
      <c r="D5" s="25" t="n"/>
      <c r="E5" s="25" t="n"/>
      <c r="F5" s="25" t="n"/>
      <c r="G5" s="25" t="n"/>
      <c r="H5" s="25" t="n"/>
      <c r="I5" s="25" t="n"/>
    </row>
    <row r="6" ht="24" customHeight="1">
      <c r="B6" s="4" t="inlineStr">
        <is>
          <t>1. PANEL DE CONTROL ESTRATÉGICO: 6 KPIS FINANCIEROS CLAVE</t>
        </is>
      </c>
      <c r="C6" s="5" t="n"/>
      <c r="D6" s="5" t="n"/>
      <c r="E6" s="5" t="n"/>
      <c r="F6" s="5" t="n"/>
      <c r="G6" s="5" t="n"/>
      <c r="H6" s="5" t="n"/>
      <c r="I6" s="5" t="n"/>
    </row>
    <row r="7" ht="18" customHeight="1">
      <c r="B7" s="100" t="inlineStr">
        <is>
          <t>PATRIMONIO NETO TOTAL</t>
        </is>
      </c>
      <c r="C7" s="101" t="n"/>
      <c r="D7" s="100" t="inlineStr">
        <is>
          <t>COBERTURA FONDO EMERGENCIA</t>
        </is>
      </c>
      <c r="E7" s="101" t="n"/>
      <c r="F7" s="100" t="inlineStr">
        <is>
          <t>TASA DE AHORRO / INVERSIÓN</t>
        </is>
      </c>
      <c r="G7" s="101" t="n"/>
      <c r="H7" s="100" t="inlineStr">
        <is>
          <t>NIVEL DE ENDEUDAMIENTO (DTI)</t>
        </is>
      </c>
      <c r="I7" s="101" t="n"/>
    </row>
    <row r="8" ht="26" customHeight="1">
      <c r="B8" s="102">
        <f>'03_Balance_Patrimonial'!E32</f>
        <v/>
      </c>
      <c r="C8" s="101" t="n"/>
      <c r="D8" s="103">
        <f>'03_Balance_Patrimonial'!E36</f>
        <v/>
      </c>
      <c r="E8" s="101" t="n"/>
      <c r="F8" s="104">
        <f>'04_Presupuesto_Inteligente'!H33</f>
        <v/>
      </c>
      <c r="G8" s="101" t="n"/>
      <c r="H8" s="105">
        <f>'05_Saneamiento_Deudas'!E20</f>
        <v/>
      </c>
      <c r="I8" s="101" t="n"/>
    </row>
    <row r="10" ht="18" customHeight="1">
      <c r="B10" s="100" t="inlineStr">
        <is>
          <t>PUNTO DE EQUILIBRIO OPERATIVO MENSUAL</t>
        </is>
      </c>
      <c r="C10" s="101" t="n"/>
      <c r="D10" s="101" t="n"/>
      <c r="E10" s="101" t="n"/>
      <c r="F10" s="100" t="inlineStr">
        <is>
          <t>PROGRESO HACIA LA LIBERTAD FINANCIERA (FIRE)</t>
        </is>
      </c>
      <c r="G10" s="101" t="n"/>
      <c r="H10" s="101" t="n"/>
      <c r="I10" s="101" t="n"/>
    </row>
    <row r="11" ht="26" customHeight="1">
      <c r="B11" s="102">
        <f>'06_Startup_y_Precios'!E35</f>
        <v/>
      </c>
      <c r="C11" s="101" t="n"/>
      <c r="D11" s="101" t="n"/>
      <c r="E11" s="101" t="n"/>
      <c r="F11" s="105">
        <f>'09_Libertad_Financiera'!E15</f>
        <v/>
      </c>
      <c r="G11" s="101" t="n"/>
      <c r="H11" s="101" t="n"/>
      <c r="I11" s="101" t="n"/>
    </row>
    <row r="13" ht="24" customHeight="1">
      <c r="B13" s="4" t="inlineStr">
        <is>
          <t>2. CAJA DE PRE-ANÁLISIS DIRECTIVO Y RECOMENDACIÓN CONSULTIVA AUTOMATIZADA</t>
        </is>
      </c>
      <c r="C13" s="5" t="n"/>
      <c r="D13" s="5" t="n"/>
      <c r="E13" s="5" t="n"/>
      <c r="F13" s="5" t="n"/>
      <c r="G13" s="5" t="n"/>
      <c r="H13" s="5" t="n"/>
      <c r="I13" s="5" t="n"/>
    </row>
    <row r="14" ht="55" customHeight="1">
      <c r="B14" s="36">
        <f>"🏆 DIAGNÓSTICO EJECUTIVO CONSOLIDADO: Tu salud financiera presenta un Patrimonio Neto de " &amp; TEXT(B8,"$#,##0") &amp; ", una cobertura de emergencia de " &amp; TEXT(D8,"0.0") &amp; " meses y una tasa de ahorro del " &amp; TEXT(F8,"0.0%") &amp; ". PRE-ANÁLISIS ESTRATÉGICO: " &amp; IF(H8&gt;0.4,"🚨 ALERTA CRÍTICA: Tu nivel de endeudamiento (" &amp; TEXT(H8,"0.0%") &amp; ") supera el límite seguro (&gt;40%). Detén nuevas inversiones y enfoca todo el superávit en desendeudamiento acelerado mediante método avalancha.",IF(D8&lt;3,"⚠️ ATENCIÓN EN LIQUIDEZ: Tu fondo de emergencia es inferior a 3 meses. Asigna el 20% de tus ingresos a la cuenta de reserva antes de realizar inversiones ilíquidas.","✅ ESTRUCTURA FINANCIERA ROBUSTA: Presentas liquidez, solvencia y disciplina presupuestaria excelentes. Maximiza tus aportes a fondos indexados globales para acelerar tu meta FIRE."))</f>
        <v/>
      </c>
    </row>
    <row r="16" ht="24" customHeight="1">
      <c r="B16" s="4" t="inlineStr">
        <is>
          <t>3. FRANJA DE ESTADO POR PILAR M.A.E.S.T.R.O. (SEMÁFORO CONSOLIDADO)</t>
        </is>
      </c>
      <c r="C16" s="5" t="n"/>
      <c r="D16" s="5" t="n"/>
      <c r="E16" s="5" t="n"/>
      <c r="F16" s="5" t="n"/>
      <c r="G16" s="5" t="n"/>
      <c r="H16" s="5" t="n"/>
      <c r="I16" s="5" t="n"/>
    </row>
    <row r="17" ht="18" customHeight="1">
      <c r="B17" s="26" t="inlineStr">
        <is>
          <t>Fase</t>
        </is>
      </c>
      <c r="C17" s="26" t="inlineStr">
        <is>
          <t>Pilar M.A.E.S.T.R.O.</t>
        </is>
      </c>
      <c r="D17" s="26" t="n"/>
      <c r="E17" s="26" t="inlineStr">
        <is>
          <t>Indicador Clave (en vivo)</t>
        </is>
      </c>
      <c r="F17" s="26" t="n"/>
      <c r="G17" s="26" t="n"/>
      <c r="H17" s="26" t="inlineStr">
        <is>
          <t>Estado</t>
        </is>
      </c>
      <c r="I17" s="26" t="n"/>
    </row>
    <row r="18" ht="19" customHeight="1">
      <c r="B18" s="30" t="inlineStr">
        <is>
          <t>M</t>
        </is>
      </c>
      <c r="C18" s="8" t="inlineStr">
        <is>
          <t>Mente &amp; Diagnóstico</t>
        </is>
      </c>
      <c r="D18" s="27" t="n"/>
      <c r="E18" s="8">
        <f>"Puntaje Conductual: " &amp; '01_Mente_y_Arquetipos'!E18 &amp; "/50"</f>
        <v/>
      </c>
      <c r="F18" s="27" t="n"/>
      <c r="G18" s="27" t="n"/>
      <c r="H18" s="30">
        <f>IF('01_Mente_y_Arquetipos'!E18&gt;=30,"🟢 Bien",IF('01_Mente_y_Arquetipos'!E18&gt;=20,"🟡 Atención","🔴 Crítico"))</f>
        <v/>
      </c>
      <c r="I18" s="27" t="n"/>
    </row>
    <row r="19" ht="19" customHeight="1">
      <c r="B19" s="29" t="inlineStr">
        <is>
          <t>A</t>
        </is>
      </c>
      <c r="C19" s="11" t="inlineStr">
        <is>
          <t>Activos &amp; Balance</t>
        </is>
      </c>
      <c r="D19" s="28" t="n"/>
      <c r="E19" s="11">
        <f>"Ratio de Apalancamiento: " &amp; TEXT('03_Balance_Patrimonial'!E34,"0.0%")</f>
        <v/>
      </c>
      <c r="F19" s="28" t="n"/>
      <c r="G19" s="28" t="n"/>
      <c r="H19" s="29">
        <f>IF('03_Balance_Patrimonial'!E34&lt;=0.4,"🟢 Bien",IF('03_Balance_Patrimonial'!E34&lt;=0.5,"🟡 Atención","🔴 Crítico"))</f>
        <v/>
      </c>
      <c r="I19" s="28" t="n"/>
    </row>
    <row r="20" ht="19" customHeight="1">
      <c r="B20" s="30" t="inlineStr">
        <is>
          <t>E</t>
        </is>
      </c>
      <c r="C20" s="8" t="inlineStr">
        <is>
          <t>Estructura de Gastos</t>
        </is>
      </c>
      <c r="D20" s="27" t="n"/>
      <c r="E20" s="8">
        <f>"Tasa de Ahorro Real: " &amp; TEXT('04_Presupuesto_Inteligente'!H33,"0.0%")</f>
        <v/>
      </c>
      <c r="F20" s="27" t="n"/>
      <c r="G20" s="27" t="n"/>
      <c r="H20" s="30">
        <f>IF('04_Presupuesto_Inteligente'!H33&gt;=0.2,"🟢 Bien",IF('04_Presupuesto_Inteligente'!H33&gt;=0.1,"🟡 Atención","🔴 Crítico"))</f>
        <v/>
      </c>
      <c r="I20" s="27" t="n"/>
    </row>
    <row r="21" ht="19" customHeight="1">
      <c r="B21" s="29" t="inlineStr">
        <is>
          <t>S</t>
        </is>
      </c>
      <c r="C21" s="11" t="inlineStr">
        <is>
          <t>Saneamiento de Deudas</t>
        </is>
      </c>
      <c r="D21" s="28" t="n"/>
      <c r="E21" s="11">
        <f>"Ratio DTI: " &amp; TEXT('05_Saneamiento_Deudas'!E20,"0.0%")</f>
        <v/>
      </c>
      <c r="F21" s="28" t="n"/>
      <c r="G21" s="28" t="n"/>
      <c r="H21" s="29">
        <f>IF('05_Saneamiento_Deudas'!E20&lt;=0.3,"🟢 Bien",IF('05_Saneamiento_Deudas'!E20&lt;=0.4,"🟡 Atención","🔴 Crítico"))</f>
        <v/>
      </c>
      <c r="I21" s="28" t="n"/>
    </row>
    <row r="22" ht="19" customHeight="1">
      <c r="B22" s="30" t="inlineStr">
        <is>
          <t>T</t>
        </is>
      </c>
      <c r="C22" s="8" t="inlineStr">
        <is>
          <t>Transición Emprendedora</t>
        </is>
      </c>
      <c r="D22" s="27" t="n"/>
      <c r="E22" s="8">
        <f>"Margen de Contribución: " &amp; TEXT('06_Startup_y_Precios'!E33,"0.0%")</f>
        <v/>
      </c>
      <c r="F22" s="27" t="n"/>
      <c r="G22" s="27" t="n"/>
      <c r="H22" s="30">
        <f>IF('06_Startup_y_Precios'!E33&gt;=0.4,"🟢 Bien",IF('06_Startup_y_Precios'!E33&gt;=0.25,"🟡 Atención","🔴 Crítico"))</f>
        <v/>
      </c>
      <c r="I22" s="27" t="n"/>
    </row>
    <row r="23" ht="19" customHeight="1">
      <c r="B23" s="29" t="inlineStr">
        <is>
          <t>R</t>
        </is>
      </c>
      <c r="C23" s="11" t="inlineStr">
        <is>
          <t>Registro &amp; Flujo de Caja</t>
        </is>
      </c>
      <c r="D23" s="28" t="n"/>
      <c r="E23" s="11">
        <f>"Meses con Déficit de Caja: " &amp; COUNTIF('07_Flujo_Caja_12M'!D25:O25,"&lt;0") &amp; "/12"</f>
        <v/>
      </c>
      <c r="F23" s="28" t="n"/>
      <c r="G23" s="28" t="n"/>
      <c r="H23" s="29">
        <f>IF(COUNTIF('07_Flujo_Caja_12M'!D25:O25,"&lt;0")=0,"🟢 Bien",IF(COUNTIF('07_Flujo_Caja_12M'!D25:O25,"&lt;0")&lt;=2,"🟡 Atención","🔴 Crítico"))</f>
        <v/>
      </c>
      <c r="I23" s="28" t="n"/>
    </row>
    <row r="24" ht="19" customHeight="1">
      <c r="B24" s="30" t="inlineStr">
        <is>
          <t>O</t>
        </is>
      </c>
      <c r="C24" s="8" t="inlineStr">
        <is>
          <t>Optimización &amp; Libertad</t>
        </is>
      </c>
      <c r="D24" s="27" t="n"/>
      <c r="E24" s="8">
        <f>"Progreso hacia FIRE: " &amp; TEXT('09_Libertad_Financiera'!E15,"0.0%")</f>
        <v/>
      </c>
      <c r="F24" s="27" t="n"/>
      <c r="G24" s="27" t="n"/>
      <c r="H24" s="30">
        <f>IF('09_Libertad_Financiera'!E15&gt;=0.5,"🟢 Bien",IF('09_Libertad_Financiera'!E15&gt;=0.15,"🟡 Atención","🔴 Crítico"))</f>
        <v/>
      </c>
      <c r="I24" s="27" t="n"/>
    </row>
    <row r="26" ht="24" customHeight="1">
      <c r="B26" s="4" t="inlineStr">
        <is>
          <t>4. MATRICES DE DATOS VISUALES INTERCONECTADAS</t>
        </is>
      </c>
      <c r="C26" s="5" t="n"/>
      <c r="D26" s="5" t="n"/>
      <c r="E26" s="5" t="n"/>
      <c r="F26" s="5" t="n"/>
      <c r="G26" s="5" t="n"/>
      <c r="H26" s="5" t="n"/>
      <c r="I26" s="5" t="n"/>
    </row>
    <row r="27" ht="18" customHeight="1">
      <c r="B27" s="26" t="inlineStr">
        <is>
          <t>Pilar Presupuesto</t>
        </is>
      </c>
      <c r="C27" s="26" t="inlineStr">
        <is>
          <t>Monto Real ($)</t>
        </is>
      </c>
      <c r="E27" s="26" t="inlineStr">
        <is>
          <t>Estructura Balance</t>
        </is>
      </c>
      <c r="F27" s="26" t="inlineStr">
        <is>
          <t>Monto ($)</t>
        </is>
      </c>
      <c r="H27" s="26" t="inlineStr">
        <is>
          <t>Flujo de Caja Anual</t>
        </is>
      </c>
      <c r="I27" s="26" t="inlineStr">
        <is>
          <t>Monto ($)</t>
        </is>
      </c>
    </row>
    <row r="28" ht="18" customHeight="1">
      <c r="B28" s="6" t="inlineStr">
        <is>
          <t>Necesidades (50%)</t>
        </is>
      </c>
      <c r="C28" s="62">
        <f>'04_Presupuesto_Inteligente'!F23</f>
        <v/>
      </c>
      <c r="E28" s="6" t="inlineStr">
        <is>
          <t>Activos Totales</t>
        </is>
      </c>
      <c r="F28" s="62">
        <f>'03_Balance_Patrimonial'!E18</f>
        <v/>
      </c>
      <c r="H28" s="6" t="inlineStr">
        <is>
          <t>Entradas de Efectivo</t>
        </is>
      </c>
      <c r="I28" s="62">
        <f>'07_Flujo_Caja_12M'!P13</f>
        <v/>
      </c>
    </row>
    <row r="29" ht="18" customHeight="1">
      <c r="B29" s="9" t="inlineStr">
        <is>
          <t>Deseos (30%)</t>
        </is>
      </c>
      <c r="C29" s="63">
        <f>'04_Presupuesto_Inteligente'!F29</f>
        <v/>
      </c>
      <c r="E29" s="9" t="inlineStr">
        <is>
          <t>Pasivos Totales</t>
        </is>
      </c>
      <c r="F29" s="63">
        <f>'03_Balance_Patrimonial'!E29</f>
        <v/>
      </c>
      <c r="H29" s="9" t="inlineStr">
        <is>
          <t>Salidas de Efectivo</t>
        </is>
      </c>
      <c r="I29" s="63">
        <f>'07_Flujo_Caja_12M'!P21</f>
        <v/>
      </c>
    </row>
    <row r="30" ht="18" customHeight="1">
      <c r="B30" s="6" t="inlineStr">
        <is>
          <t>Ahorro / Inversión (20%)</t>
        </is>
      </c>
      <c r="C30" s="62">
        <f>'04_Presupuesto_Inteligente'!F33</f>
        <v/>
      </c>
      <c r="E30" s="6" t="inlineStr">
        <is>
          <t>Patrimonio Neto</t>
        </is>
      </c>
      <c r="F30" s="62">
        <f>'03_Balance_Patrimonial'!E32</f>
        <v/>
      </c>
      <c r="H30" s="6" t="inlineStr">
        <is>
          <t>Flujo Neto Acumulado</t>
        </is>
      </c>
      <c r="I30" s="62">
        <f>'07_Flujo_Caja_12M'!P23</f>
        <v/>
      </c>
    </row>
  </sheetData>
  <mergeCells count="46">
    <mergeCell ref="E19:G19"/>
    <mergeCell ref="B7:C7"/>
    <mergeCell ref="H20:I20"/>
    <mergeCell ref="C24:D24"/>
    <mergeCell ref="B16:I16"/>
    <mergeCell ref="B3:I3"/>
    <mergeCell ref="C18:D18"/>
    <mergeCell ref="F7:G7"/>
    <mergeCell ref="C20:D20"/>
    <mergeCell ref="H21:I21"/>
    <mergeCell ref="B2:I2"/>
    <mergeCell ref="F11:I11"/>
    <mergeCell ref="B14:I14"/>
    <mergeCell ref="C22:D22"/>
    <mergeCell ref="B8:C8"/>
    <mergeCell ref="B1:I1"/>
    <mergeCell ref="F10:I10"/>
    <mergeCell ref="F8:G8"/>
    <mergeCell ref="H17:I17"/>
    <mergeCell ref="B13:I13"/>
    <mergeCell ref="D7:E7"/>
    <mergeCell ref="C21:D21"/>
    <mergeCell ref="E22:G22"/>
    <mergeCell ref="H7:I7"/>
    <mergeCell ref="B11:E11"/>
    <mergeCell ref="E18:G18"/>
    <mergeCell ref="H19:I19"/>
    <mergeCell ref="E20:G20"/>
    <mergeCell ref="E21:G21"/>
    <mergeCell ref="H22:I22"/>
    <mergeCell ref="C17:D17"/>
    <mergeCell ref="C23:D23"/>
    <mergeCell ref="D8:E8"/>
    <mergeCell ref="E24:G24"/>
    <mergeCell ref="B6:I6"/>
    <mergeCell ref="E23:G23"/>
    <mergeCell ref="H24:I24"/>
    <mergeCell ref="H18:I18"/>
    <mergeCell ref="C19:D19"/>
    <mergeCell ref="E17:G17"/>
    <mergeCell ref="B5:I5"/>
    <mergeCell ref="H23:I23"/>
    <mergeCell ref="H8:I8"/>
    <mergeCell ref="B10:E10"/>
    <mergeCell ref="B4:I4"/>
    <mergeCell ref="B26:I26"/>
  </mergeCells>
  <conditionalFormatting sqref="H18:I24">
    <cfRule type="cellIs" priority="1" operator="equal" dxfId="0" stopIfTrue="1">
      <formula>"🟢 Bien"</formula>
    </cfRule>
    <cfRule type="cellIs" priority="2" operator="equal" dxfId="1" stopIfTrue="1">
      <formula>"🟡 Atención"</formula>
    </cfRule>
    <cfRule type="cellIs" priority="3" operator="equal" dxfId="2" stopIfTrue="1">
      <formula>"🔴 Crítico"</formula>
    </cfRule>
  </conditionalFormatting>
  <pageMargins left="0.35" right="0.35" top="0.75" bottom="0.75" header="0.3" footer="0.3"/>
  <pageSetup orientation="landscape" paperSize="1" fitToHeight="0" fitToWidth="1"/>
  <headerFooter>
    <oddHeader>&amp;L&amp;BMetodología M.A.E.S.T.R.O. Financiero:&amp;B KIT de Finanzas Personales &amp; Emprendimiento&amp;R&amp;BXPROF Soluciones de Innovación&amp;B</oddHeader>
    <oddFooter>&amp;LKIT Financiero XPROF 3.0 - Sistema de Gestión y Autogestión Financiera&amp;CCódigo: DOC-KF-10 | Versión: 3.0&amp;RPágina &amp;P de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2026-08-29T03:43:37Z</dcterms:created>
  <dcterms:modified xsi:type="dcterms:W3CDTF">2026-08-29T03:43:44Z</dcterms:modified>
</cp:coreProperties>
</file>